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-15" windowWidth="19260" windowHeight="6030" firstSheet="2" activeTab="2"/>
  </bookViews>
  <sheets>
    <sheet name="půlmaraton 2019" sheetId="1" state="hidden" r:id="rId1"/>
    <sheet name="2015" sheetId="2" state="hidden" r:id="rId2"/>
    <sheet name="púlmaraton 2021" sheetId="3" r:id="rId3"/>
    <sheet name="2021" sheetId="4" state="hidden" r:id="rId4"/>
    <sheet name="tisk 1 družstvo" sheetId="6" r:id="rId5"/>
    <sheet name="tisk 2 jednotlivci" sheetId="7" r:id="rId6"/>
    <sheet name="12minut-2021" sheetId="8" r:id="rId7"/>
    <sheet name="účast" sheetId="9" r:id="rId8"/>
    <sheet name="List1" sheetId="10" r:id="rId9"/>
  </sheets>
  <calcPr calcId="125725"/>
</workbook>
</file>

<file path=xl/calcChain.xml><?xml version="1.0" encoding="utf-8"?>
<calcChain xmlns="http://schemas.openxmlformats.org/spreadsheetml/2006/main">
  <c r="C8" i="3"/>
  <c r="I18" i="8"/>
  <c r="M40" i="7"/>
  <c r="M39"/>
  <c r="M38"/>
  <c r="M37"/>
  <c r="M36"/>
  <c r="M35"/>
  <c r="M34"/>
  <c r="N34" s="1"/>
  <c r="S34" s="1"/>
  <c r="M16" i="8" l="1"/>
  <c r="M12"/>
  <c r="M8"/>
  <c r="M10"/>
  <c r="H16"/>
  <c r="I6"/>
  <c r="I16"/>
  <c r="H18"/>
  <c r="H14"/>
  <c r="H12"/>
  <c r="H10"/>
  <c r="H8"/>
  <c r="H6"/>
  <c r="F6" i="6"/>
  <c r="E6"/>
  <c r="N6"/>
  <c r="M6"/>
  <c r="J6"/>
  <c r="H6"/>
  <c r="N2"/>
  <c r="K1"/>
  <c r="K6" s="1"/>
  <c r="J1"/>
  <c r="J7" s="1"/>
  <c r="I1"/>
  <c r="I6" s="1"/>
  <c r="H1"/>
  <c r="H7" s="1"/>
  <c r="G1"/>
  <c r="G6" s="1"/>
  <c r="F1"/>
  <c r="F7" s="1"/>
  <c r="E1"/>
  <c r="S10" i="3"/>
  <c r="P5"/>
  <c r="O5"/>
  <c r="O11" s="1"/>
  <c r="N5"/>
  <c r="M5"/>
  <c r="M11" s="1"/>
  <c r="L5"/>
  <c r="K5"/>
  <c r="K11" s="1"/>
  <c r="J5"/>
  <c r="J11" s="1"/>
  <c r="R5" l="1"/>
  <c r="E7" i="6"/>
  <c r="G7"/>
  <c r="I7"/>
  <c r="K7"/>
  <c r="M1"/>
  <c r="O14" i="8"/>
  <c r="M14"/>
  <c r="J10" i="3"/>
  <c r="K103" s="1"/>
  <c r="K108"/>
  <c r="N8" i="6"/>
  <c r="M13"/>
  <c r="M8"/>
  <c r="P11" i="3"/>
  <c r="L11"/>
  <c r="R10"/>
  <c r="K10"/>
  <c r="K110" s="1"/>
  <c r="N11" l="1"/>
  <c r="M6" i="8"/>
  <c r="K85" i="3"/>
  <c r="N35" i="7" l="1"/>
  <c r="S6" i="3"/>
  <c r="N10"/>
  <c r="K127" s="1"/>
  <c r="M18" i="8"/>
  <c r="O10" i="3"/>
  <c r="K88" s="1"/>
  <c r="L10"/>
  <c r="K121" s="1"/>
  <c r="I8" i="8"/>
  <c r="I14"/>
  <c r="I12"/>
  <c r="I10"/>
  <c r="Q4"/>
  <c r="R4" i="3"/>
  <c r="Q3" i="8"/>
  <c r="P10" i="3"/>
  <c r="K72" s="1"/>
  <c r="O16" i="8"/>
  <c r="O6"/>
  <c r="M31" i="7"/>
  <c r="M30"/>
  <c r="M29"/>
  <c r="M28"/>
  <c r="M27"/>
  <c r="M26"/>
  <c r="M25"/>
  <c r="N36" l="1"/>
  <c r="N37" s="1"/>
  <c r="S37" s="1"/>
  <c r="S35"/>
  <c r="S36"/>
  <c r="N25"/>
  <c r="T34" s="1"/>
  <c r="N26"/>
  <c r="N27" s="1"/>
  <c r="T36" s="1"/>
  <c r="M10" i="3"/>
  <c r="K90" s="1"/>
  <c r="O10" i="8"/>
  <c r="O12"/>
  <c r="O18"/>
  <c r="O8"/>
  <c r="N38" i="7" l="1"/>
  <c r="T35"/>
  <c r="N28"/>
  <c r="N29" s="1"/>
  <c r="S27"/>
  <c r="S26"/>
  <c r="N39" l="1"/>
  <c r="S39" s="1"/>
  <c r="T38"/>
  <c r="T37"/>
  <c r="S28"/>
  <c r="N40" l="1"/>
  <c r="S38"/>
  <c r="S29"/>
  <c r="S40" l="1"/>
  <c r="N30"/>
  <c r="T39" s="1"/>
  <c r="S30" l="1"/>
  <c r="N31"/>
  <c r="T40" s="1"/>
  <c r="S31" l="1"/>
  <c r="N62" i="6"/>
  <c r="M62"/>
  <c r="N58"/>
  <c r="K57"/>
  <c r="K62" s="1"/>
  <c r="J57"/>
  <c r="J62" s="1"/>
  <c r="I57"/>
  <c r="I62" s="1"/>
  <c r="H57"/>
  <c r="H62" s="1"/>
  <c r="G57"/>
  <c r="G62" s="1"/>
  <c r="F57"/>
  <c r="F62" s="1"/>
  <c r="E57"/>
  <c r="E62" s="1"/>
  <c r="N55"/>
  <c r="M55"/>
  <c r="N51"/>
  <c r="K50"/>
  <c r="K56" s="1"/>
  <c r="J50"/>
  <c r="J56" s="1"/>
  <c r="I50"/>
  <c r="I56" s="1"/>
  <c r="H50"/>
  <c r="H56" s="1"/>
  <c r="G50"/>
  <c r="G56" s="1"/>
  <c r="F50"/>
  <c r="F56" s="1"/>
  <c r="E50"/>
  <c r="E56" s="1"/>
  <c r="N48"/>
  <c r="M48"/>
  <c r="N44"/>
  <c r="K43"/>
  <c r="K49" s="1"/>
  <c r="J43"/>
  <c r="J48" s="1"/>
  <c r="I43"/>
  <c r="I49" s="1"/>
  <c r="H43"/>
  <c r="H48" s="1"/>
  <c r="G43"/>
  <c r="G49" s="1"/>
  <c r="F43"/>
  <c r="F48" s="1"/>
  <c r="E43"/>
  <c r="E49" s="1"/>
  <c r="N41"/>
  <c r="M41"/>
  <c r="N37"/>
  <c r="K36"/>
  <c r="K41" s="1"/>
  <c r="J36"/>
  <c r="J42" s="1"/>
  <c r="I36"/>
  <c r="I41" s="1"/>
  <c r="H36"/>
  <c r="H42" s="1"/>
  <c r="G36"/>
  <c r="G41" s="1"/>
  <c r="F36"/>
  <c r="F42" s="1"/>
  <c r="E36"/>
  <c r="E41" s="1"/>
  <c r="N34"/>
  <c r="M34"/>
  <c r="N30"/>
  <c r="K29"/>
  <c r="K35" s="1"/>
  <c r="J29"/>
  <c r="J34" s="1"/>
  <c r="I29"/>
  <c r="I35" s="1"/>
  <c r="H29"/>
  <c r="H34" s="1"/>
  <c r="G29"/>
  <c r="G35" s="1"/>
  <c r="F29"/>
  <c r="F34" s="1"/>
  <c r="E29"/>
  <c r="E35" s="1"/>
  <c r="N27"/>
  <c r="M27"/>
  <c r="N23"/>
  <c r="N22"/>
  <c r="J22"/>
  <c r="J28" s="1"/>
  <c r="I22"/>
  <c r="I28" s="1"/>
  <c r="H22"/>
  <c r="H28" s="1"/>
  <c r="G22"/>
  <c r="G28" s="1"/>
  <c r="F22"/>
  <c r="F28" s="1"/>
  <c r="E22"/>
  <c r="E28" s="1"/>
  <c r="N20"/>
  <c r="M20"/>
  <c r="N16"/>
  <c r="K15"/>
  <c r="K21" s="1"/>
  <c r="J15"/>
  <c r="J20" s="1"/>
  <c r="I15"/>
  <c r="I21" s="1"/>
  <c r="H15"/>
  <c r="H20" s="1"/>
  <c r="G15"/>
  <c r="G21" s="1"/>
  <c r="F15"/>
  <c r="F20" s="1"/>
  <c r="E15"/>
  <c r="E21" s="1"/>
  <c r="N13"/>
  <c r="N9"/>
  <c r="K8"/>
  <c r="K13" s="1"/>
  <c r="J8"/>
  <c r="J14" s="1"/>
  <c r="I8"/>
  <c r="I13" s="1"/>
  <c r="H8"/>
  <c r="H14" s="1"/>
  <c r="G8"/>
  <c r="G13" s="1"/>
  <c r="F8"/>
  <c r="F14" s="1"/>
  <c r="E8"/>
  <c r="E9" i="3"/>
  <c r="C9"/>
  <c r="J19"/>
  <c r="K19"/>
  <c r="L19"/>
  <c r="M19"/>
  <c r="N19"/>
  <c r="O19"/>
  <c r="P19"/>
  <c r="J12"/>
  <c r="K12"/>
  <c r="L12"/>
  <c r="L17" s="1"/>
  <c r="M12"/>
  <c r="M17" s="1"/>
  <c r="K128" s="1"/>
  <c r="N12"/>
  <c r="N18" s="1"/>
  <c r="O12"/>
  <c r="O18" s="1"/>
  <c r="P12"/>
  <c r="P18" s="1"/>
  <c r="C36"/>
  <c r="C37" s="1"/>
  <c r="E15"/>
  <c r="E16" s="1"/>
  <c r="R66"/>
  <c r="S62"/>
  <c r="J68"/>
  <c r="K68"/>
  <c r="L68"/>
  <c r="M68"/>
  <c r="P68"/>
  <c r="N68"/>
  <c r="O68"/>
  <c r="K83"/>
  <c r="C15"/>
  <c r="C16" s="1"/>
  <c r="R17"/>
  <c r="S17"/>
  <c r="K120"/>
  <c r="M18"/>
  <c r="R38"/>
  <c r="S13"/>
  <c r="Q56" i="1"/>
  <c r="Q106"/>
  <c r="Q99"/>
  <c r="Q95"/>
  <c r="Q92"/>
  <c r="Q88"/>
  <c r="Q85"/>
  <c r="Q81"/>
  <c r="Q78"/>
  <c r="Q74"/>
  <c r="Q71"/>
  <c r="Q67"/>
  <c r="Q66"/>
  <c r="Q64"/>
  <c r="Q60"/>
  <c r="S24" i="3"/>
  <c r="S59"/>
  <c r="S66"/>
  <c r="S52"/>
  <c r="S45"/>
  <c r="S38"/>
  <c r="R31"/>
  <c r="J26"/>
  <c r="J32" s="1"/>
  <c r="K26"/>
  <c r="L26"/>
  <c r="L32" s="1"/>
  <c r="M26"/>
  <c r="M31" s="1"/>
  <c r="K109" s="1"/>
  <c r="N26"/>
  <c r="O26"/>
  <c r="O31" s="1"/>
  <c r="K96" s="1"/>
  <c r="S26"/>
  <c r="P61"/>
  <c r="P66" s="1"/>
  <c r="O61"/>
  <c r="O66" s="1"/>
  <c r="N61"/>
  <c r="N66" s="1"/>
  <c r="M61"/>
  <c r="M66" s="1"/>
  <c r="L61"/>
  <c r="L66" s="1"/>
  <c r="K61"/>
  <c r="K66" s="1"/>
  <c r="J61"/>
  <c r="J66" s="1"/>
  <c r="R59"/>
  <c r="S55"/>
  <c r="P54"/>
  <c r="P60" s="1"/>
  <c r="O54"/>
  <c r="O60" s="1"/>
  <c r="N54"/>
  <c r="N60" s="1"/>
  <c r="M54"/>
  <c r="M60" s="1"/>
  <c r="L54"/>
  <c r="L60" s="1"/>
  <c r="K54"/>
  <c r="K60" s="1"/>
  <c r="J54"/>
  <c r="J60" s="1"/>
  <c r="R52"/>
  <c r="K82"/>
  <c r="C50"/>
  <c r="B53" s="1"/>
  <c r="S48"/>
  <c r="P47"/>
  <c r="P52" s="1"/>
  <c r="K123" s="1"/>
  <c r="O47"/>
  <c r="O53" s="1"/>
  <c r="N47"/>
  <c r="M47"/>
  <c r="M53" s="1"/>
  <c r="L47"/>
  <c r="L52" s="1"/>
  <c r="K116" s="1"/>
  <c r="K47"/>
  <c r="K53" s="1"/>
  <c r="J47"/>
  <c r="R45"/>
  <c r="S41"/>
  <c r="P40"/>
  <c r="P46" s="1"/>
  <c r="O40"/>
  <c r="O46" s="1"/>
  <c r="N40"/>
  <c r="N46" s="1"/>
  <c r="M40"/>
  <c r="M46" s="1"/>
  <c r="L40"/>
  <c r="L46" s="1"/>
  <c r="K40"/>
  <c r="K46" s="1"/>
  <c r="J40"/>
  <c r="J46" s="1"/>
  <c r="S34"/>
  <c r="P33"/>
  <c r="P39" s="1"/>
  <c r="O33"/>
  <c r="O38" s="1"/>
  <c r="K105" s="1"/>
  <c r="N33"/>
  <c r="N39" s="1"/>
  <c r="M33"/>
  <c r="M38" s="1"/>
  <c r="K117" s="1"/>
  <c r="L33"/>
  <c r="L39" s="1"/>
  <c r="K33"/>
  <c r="K38" s="1"/>
  <c r="K93" s="1"/>
  <c r="J33"/>
  <c r="J39" s="1"/>
  <c r="S31"/>
  <c r="C29"/>
  <c r="B32" s="1"/>
  <c r="S27"/>
  <c r="N32"/>
  <c r="R24"/>
  <c r="C22"/>
  <c r="S20"/>
  <c r="P24"/>
  <c r="K75" s="1"/>
  <c r="O25"/>
  <c r="N24"/>
  <c r="K95" s="1"/>
  <c r="M25"/>
  <c r="L24"/>
  <c r="K107" s="1"/>
  <c r="K25"/>
  <c r="J25"/>
  <c r="Q52" i="1"/>
  <c r="B56"/>
  <c r="C54"/>
  <c r="P56"/>
  <c r="O51"/>
  <c r="O56" s="1"/>
  <c r="N51"/>
  <c r="N57" s="1"/>
  <c r="M51"/>
  <c r="M56" s="1"/>
  <c r="L51"/>
  <c r="L57" s="1"/>
  <c r="K51"/>
  <c r="K56" s="1"/>
  <c r="J51"/>
  <c r="J57" s="1"/>
  <c r="I51"/>
  <c r="I56" s="1"/>
  <c r="I64"/>
  <c r="I94"/>
  <c r="C62"/>
  <c r="N59"/>
  <c r="K59"/>
  <c r="K65" s="1"/>
  <c r="N65"/>
  <c r="P64"/>
  <c r="O59"/>
  <c r="O65" s="1"/>
  <c r="M59"/>
  <c r="L59"/>
  <c r="L65" s="1"/>
  <c r="J59"/>
  <c r="J65" s="1"/>
  <c r="I59"/>
  <c r="O74"/>
  <c r="P72"/>
  <c r="I65"/>
  <c r="M65"/>
  <c r="J138"/>
  <c r="J64"/>
  <c r="J146" s="1"/>
  <c r="J67"/>
  <c r="J72" s="1"/>
  <c r="J148" s="1"/>
  <c r="J74"/>
  <c r="J79" s="1"/>
  <c r="J120" s="1"/>
  <c r="J81"/>
  <c r="J86" s="1"/>
  <c r="J88"/>
  <c r="J93" s="1"/>
  <c r="J130" s="1"/>
  <c r="J95"/>
  <c r="J100" s="1"/>
  <c r="J150" s="1"/>
  <c r="J102"/>
  <c r="J107" s="1"/>
  <c r="K67"/>
  <c r="K72" s="1"/>
  <c r="J136" s="1"/>
  <c r="K74"/>
  <c r="K79" s="1"/>
  <c r="J131" s="1"/>
  <c r="K81"/>
  <c r="K86" s="1"/>
  <c r="K88"/>
  <c r="K93" s="1"/>
  <c r="J140" s="1"/>
  <c r="K95"/>
  <c r="K100" s="1"/>
  <c r="J139" s="1"/>
  <c r="K102"/>
  <c r="K107" s="1"/>
  <c r="I67"/>
  <c r="I72" s="1"/>
  <c r="J149" s="1"/>
  <c r="I74"/>
  <c r="I79" s="1"/>
  <c r="J115" s="1"/>
  <c r="I81"/>
  <c r="I86" s="1"/>
  <c r="I88"/>
  <c r="I93" s="1"/>
  <c r="J113" s="1"/>
  <c r="I95"/>
  <c r="I100" s="1"/>
  <c r="J129" s="1"/>
  <c r="I102"/>
  <c r="I107" s="1"/>
  <c r="C91"/>
  <c r="B94" s="1"/>
  <c r="C70"/>
  <c r="B72" s="1"/>
  <c r="J118" s="1"/>
  <c r="L67"/>
  <c r="L73" s="1"/>
  <c r="N67"/>
  <c r="N73" s="1"/>
  <c r="M67"/>
  <c r="M72" s="1"/>
  <c r="J124" s="1"/>
  <c r="C77"/>
  <c r="B80" s="1"/>
  <c r="P79"/>
  <c r="P86"/>
  <c r="O81"/>
  <c r="N81"/>
  <c r="N86" s="1"/>
  <c r="M81"/>
  <c r="M87" s="1"/>
  <c r="L81"/>
  <c r="L87" s="1"/>
  <c r="O87"/>
  <c r="L88"/>
  <c r="M88"/>
  <c r="N88"/>
  <c r="O88"/>
  <c r="L95"/>
  <c r="L101" s="1"/>
  <c r="N74"/>
  <c r="N80" s="1"/>
  <c r="O79"/>
  <c r="J147" s="1"/>
  <c r="M74"/>
  <c r="M79" s="1"/>
  <c r="L74"/>
  <c r="L79" s="1"/>
  <c r="J141" s="1"/>
  <c r="L102"/>
  <c r="M102"/>
  <c r="N102"/>
  <c r="O102"/>
  <c r="P100"/>
  <c r="P93"/>
  <c r="K31" i="3" l="1"/>
  <c r="K126" s="1"/>
  <c r="K32"/>
  <c r="R19"/>
  <c r="E13" i="6"/>
  <c r="E14"/>
  <c r="R12" i="3"/>
  <c r="J17"/>
  <c r="J52"/>
  <c r="K78" s="1"/>
  <c r="J53"/>
  <c r="R47"/>
  <c r="N52"/>
  <c r="K92" s="1"/>
  <c r="K18"/>
  <c r="K17"/>
  <c r="K112" s="1"/>
  <c r="E34" i="6"/>
  <c r="I34"/>
  <c r="F41"/>
  <c r="J41"/>
  <c r="G48"/>
  <c r="E55"/>
  <c r="I55"/>
  <c r="F63"/>
  <c r="J63"/>
  <c r="G34"/>
  <c r="K34"/>
  <c r="H41"/>
  <c r="E48"/>
  <c r="I48"/>
  <c r="G55"/>
  <c r="K55"/>
  <c r="H63"/>
  <c r="M29"/>
  <c r="F35"/>
  <c r="H35"/>
  <c r="J35"/>
  <c r="E42"/>
  <c r="G42"/>
  <c r="I42"/>
  <c r="K42"/>
  <c r="M43"/>
  <c r="K48"/>
  <c r="F49"/>
  <c r="H49"/>
  <c r="J49"/>
  <c r="F55"/>
  <c r="H55"/>
  <c r="J55"/>
  <c r="E63"/>
  <c r="G63"/>
  <c r="I63"/>
  <c r="K63"/>
  <c r="M36"/>
  <c r="M50"/>
  <c r="F13"/>
  <c r="H13"/>
  <c r="J13"/>
  <c r="G14"/>
  <c r="I14"/>
  <c r="K14"/>
  <c r="M15"/>
  <c r="E20"/>
  <c r="G20"/>
  <c r="I20"/>
  <c r="K20"/>
  <c r="F21"/>
  <c r="H21"/>
  <c r="J21"/>
  <c r="M22"/>
  <c r="F27"/>
  <c r="H27"/>
  <c r="J27"/>
  <c r="E27"/>
  <c r="G27"/>
  <c r="I27"/>
  <c r="P17" i="3"/>
  <c r="K97" s="1"/>
  <c r="O17"/>
  <c r="K73" s="1"/>
  <c r="P67"/>
  <c r="K67"/>
  <c r="M67"/>
  <c r="J18"/>
  <c r="K94"/>
  <c r="N67"/>
  <c r="J67"/>
  <c r="L67"/>
  <c r="O67"/>
  <c r="R26"/>
  <c r="J24"/>
  <c r="K114" s="1"/>
  <c r="N17"/>
  <c r="K104" s="1"/>
  <c r="L18"/>
  <c r="K45"/>
  <c r="K24"/>
  <c r="K124" s="1"/>
  <c r="M24"/>
  <c r="O24"/>
  <c r="K98" s="1"/>
  <c r="L25"/>
  <c r="N25"/>
  <c r="P25"/>
  <c r="J31"/>
  <c r="K129" s="1"/>
  <c r="L31"/>
  <c r="N31"/>
  <c r="K74" s="1"/>
  <c r="M32"/>
  <c r="O32"/>
  <c r="R33"/>
  <c r="J38"/>
  <c r="K80" s="1"/>
  <c r="L38"/>
  <c r="K101" s="1"/>
  <c r="N38"/>
  <c r="K76" s="1"/>
  <c r="P38"/>
  <c r="K125" s="1"/>
  <c r="B39"/>
  <c r="K39"/>
  <c r="M39"/>
  <c r="O39"/>
  <c r="M45"/>
  <c r="O45"/>
  <c r="K52"/>
  <c r="K100" s="1"/>
  <c r="M52"/>
  <c r="K77" s="1"/>
  <c r="O52"/>
  <c r="K102" s="1"/>
  <c r="L53"/>
  <c r="N53"/>
  <c r="P53"/>
  <c r="R54"/>
  <c r="J59"/>
  <c r="K99" s="1"/>
  <c r="L59"/>
  <c r="K115" s="1"/>
  <c r="N59"/>
  <c r="K118" s="1"/>
  <c r="P59"/>
  <c r="K79" s="1"/>
  <c r="R40"/>
  <c r="J45"/>
  <c r="L45"/>
  <c r="N45"/>
  <c r="P45"/>
  <c r="K59"/>
  <c r="K131" s="1"/>
  <c r="M59"/>
  <c r="K122" s="1"/>
  <c r="O59"/>
  <c r="K106" s="1"/>
  <c r="P51" i="1"/>
  <c r="J56"/>
  <c r="L56"/>
  <c r="N56"/>
  <c r="I57"/>
  <c r="K57"/>
  <c r="M57"/>
  <c r="O57"/>
  <c r="P67"/>
  <c r="P59"/>
  <c r="N64"/>
  <c r="J123" s="1"/>
  <c r="K87"/>
  <c r="J80"/>
  <c r="I87"/>
  <c r="I80"/>
  <c r="K101"/>
  <c r="K80"/>
  <c r="K73"/>
  <c r="J101"/>
  <c r="J94"/>
  <c r="J73"/>
  <c r="O64"/>
  <c r="J126" s="1"/>
  <c r="L64"/>
  <c r="J125" s="1"/>
  <c r="K64"/>
  <c r="J135" s="1"/>
  <c r="M64"/>
  <c r="J121" s="1"/>
  <c r="K94"/>
  <c r="J87"/>
  <c r="I101"/>
  <c r="I73"/>
  <c r="L72"/>
  <c r="J137" s="1"/>
  <c r="M73"/>
  <c r="B73"/>
  <c r="B93"/>
  <c r="J116" s="1"/>
  <c r="B79"/>
  <c r="P74"/>
  <c r="N72"/>
  <c r="J122" s="1"/>
  <c r="O80"/>
  <c r="L80"/>
  <c r="L86"/>
  <c r="N87"/>
  <c r="P81"/>
  <c r="P88"/>
  <c r="M86"/>
  <c r="O86"/>
  <c r="L94"/>
  <c r="N94"/>
  <c r="M94"/>
  <c r="O94"/>
  <c r="N79"/>
  <c r="J133" s="1"/>
  <c r="M80"/>
  <c r="J127" s="1"/>
  <c r="M93" l="1"/>
  <c r="J119" s="1"/>
  <c r="L93"/>
  <c r="J128" s="1"/>
  <c r="O93"/>
  <c r="J145" s="1"/>
  <c r="N93"/>
  <c r="J132" s="1"/>
  <c r="J56" i="2"/>
  <c r="K56" s="1"/>
  <c r="I56"/>
  <c r="H56"/>
  <c r="G56"/>
  <c r="I55"/>
  <c r="H55"/>
  <c r="J55" s="1"/>
  <c r="K55" s="1"/>
  <c r="G55"/>
  <c r="M45"/>
  <c r="L45"/>
  <c r="K45"/>
  <c r="J45"/>
  <c r="I45"/>
  <c r="H45"/>
  <c r="G45"/>
  <c r="M40"/>
  <c r="L40"/>
  <c r="K40"/>
  <c r="J40"/>
  <c r="I40"/>
  <c r="H40"/>
  <c r="G40"/>
  <c r="N39"/>
  <c r="M39"/>
  <c r="L39"/>
  <c r="K39"/>
  <c r="J39"/>
  <c r="I39"/>
  <c r="H39"/>
  <c r="G39"/>
  <c r="D38"/>
  <c r="C38"/>
  <c r="M34"/>
  <c r="L34"/>
  <c r="K34"/>
  <c r="J34"/>
  <c r="I34"/>
  <c r="H34"/>
  <c r="G34"/>
  <c r="O107" i="1"/>
  <c r="N107"/>
  <c r="M107"/>
  <c r="L107"/>
  <c r="O95"/>
  <c r="N95"/>
  <c r="M95"/>
  <c r="L100"/>
  <c r="J144" s="1"/>
  <c r="O100" l="1"/>
  <c r="J114" s="1"/>
  <c r="O101"/>
  <c r="M100"/>
  <c r="M101"/>
  <c r="J142" s="1"/>
  <c r="N100"/>
  <c r="J134" s="1"/>
  <c r="N101"/>
  <c r="P95"/>
</calcChain>
</file>

<file path=xl/sharedStrings.xml><?xml version="1.0" encoding="utf-8"?>
<sst xmlns="http://schemas.openxmlformats.org/spreadsheetml/2006/main" count="6225" uniqueCount="1392">
  <si>
    <t>Pořadí</t>
  </si>
  <si>
    <t>Stč</t>
  </si>
  <si>
    <t>Jméno Příjmení</t>
  </si>
  <si>
    <t>Klub / město</t>
  </si>
  <si>
    <t>Kategorie</t>
  </si>
  <si>
    <t>1kolo</t>
  </si>
  <si>
    <t>2kolo</t>
  </si>
  <si>
    <t>3kolo</t>
  </si>
  <si>
    <t>4kolo</t>
  </si>
  <si>
    <t>5kolo</t>
  </si>
  <si>
    <t>6kolo</t>
  </si>
  <si>
    <t>7kolo</t>
  </si>
  <si>
    <t>Čas</t>
  </si>
  <si>
    <t>Skácel Podmolík</t>
  </si>
  <si>
    <t>Podmolíci elitní</t>
  </si>
  <si>
    <t>SIFRP</t>
  </si>
  <si>
    <t>10:33</t>
  </si>
  <si>
    <t>12:12</t>
  </si>
  <si>
    <t>9:55</t>
  </si>
  <si>
    <t>9:38</t>
  </si>
  <si>
    <t>11:33</t>
  </si>
  <si>
    <t>10:05</t>
  </si>
  <si>
    <t>9:40</t>
  </si>
  <si>
    <t>1:13:33</t>
  </si>
  <si>
    <t>Vlček P 96 Vlček J 77</t>
  </si>
  <si>
    <t>Vlčáci</t>
  </si>
  <si>
    <t>10:27</t>
  </si>
  <si>
    <t>13:23</t>
  </si>
  <si>
    <t>10:40</t>
  </si>
  <si>
    <t>14:03</t>
  </si>
  <si>
    <t>10:46</t>
  </si>
  <si>
    <t>13:15</t>
  </si>
  <si>
    <t>10:44</t>
  </si>
  <si>
    <t>1:23:15</t>
  </si>
  <si>
    <t>Solař 97 Atarsia 90</t>
  </si>
  <si>
    <t>Family Veslaři</t>
  </si>
  <si>
    <t>11:36</t>
  </si>
  <si>
    <t>12:26</t>
  </si>
  <si>
    <t>11:42</t>
  </si>
  <si>
    <t>11:45</t>
  </si>
  <si>
    <t>12:17</t>
  </si>
  <si>
    <t>12:28</t>
  </si>
  <si>
    <t>11:07</t>
  </si>
  <si>
    <t>1:23:19</t>
  </si>
  <si>
    <t>Večerka 79 Utínek 86</t>
  </si>
  <si>
    <t>Kesbuk</t>
  </si>
  <si>
    <t>12:07</t>
  </si>
  <si>
    <t>13:21</t>
  </si>
  <si>
    <t>11:01</t>
  </si>
  <si>
    <t>12:05</t>
  </si>
  <si>
    <t>12:21</t>
  </si>
  <si>
    <t>11:30</t>
  </si>
  <si>
    <t>14:18</t>
  </si>
  <si>
    <t>1:26:41</t>
  </si>
  <si>
    <t>David 64 Barus 60</t>
  </si>
  <si>
    <t>BBŠ</t>
  </si>
  <si>
    <t>10:30</t>
  </si>
  <si>
    <t>16:40</t>
  </si>
  <si>
    <t>11:19</t>
  </si>
  <si>
    <t>11:51</t>
  </si>
  <si>
    <t>12:29</t>
  </si>
  <si>
    <t>11:52</t>
  </si>
  <si>
    <t>1:26:43</t>
  </si>
  <si>
    <t>Přehnal 87 Nebojsa 79</t>
  </si>
  <si>
    <t>Tenis Otrokovice</t>
  </si>
  <si>
    <t>12:55</t>
  </si>
  <si>
    <t>12:19</t>
  </si>
  <si>
    <t>12:54</t>
  </si>
  <si>
    <t>11:28</t>
  </si>
  <si>
    <t>1:26:47</t>
  </si>
  <si>
    <t>Sova Houser</t>
  </si>
  <si>
    <t>Nevyzpytatelní</t>
  </si>
  <si>
    <t>11:15</t>
  </si>
  <si>
    <t>11:43</t>
  </si>
  <si>
    <t>12:42</t>
  </si>
  <si>
    <t>13:12</t>
  </si>
  <si>
    <t>13:16</t>
  </si>
  <si>
    <t>13:20</t>
  </si>
  <si>
    <t>14:33</t>
  </si>
  <si>
    <t>1:29:58</t>
  </si>
  <si>
    <t>Vylímec 73 Petřík B 74</t>
  </si>
  <si>
    <t>Božnov 40+</t>
  </si>
  <si>
    <t>10:50</t>
  </si>
  <si>
    <t>11:22</t>
  </si>
  <si>
    <t>11:31</t>
  </si>
  <si>
    <t>13:40</t>
  </si>
  <si>
    <t>14:05</t>
  </si>
  <si>
    <t>14:36</t>
  </si>
  <si>
    <t>14:15</t>
  </si>
  <si>
    <t>1:30:16</t>
  </si>
  <si>
    <t>Žák 74 Solař 76</t>
  </si>
  <si>
    <t>Veslaři Otrokovice</t>
  </si>
  <si>
    <t>10:31</t>
  </si>
  <si>
    <t>13:36</t>
  </si>
  <si>
    <t>12:45</t>
  </si>
  <si>
    <t>14:55</t>
  </si>
  <si>
    <t>14:34</t>
  </si>
  <si>
    <t>14:27</t>
  </si>
  <si>
    <t>1:34:05</t>
  </si>
  <si>
    <t>Skácelová Švehlák</t>
  </si>
  <si>
    <t>Podmolíci  primátorská</t>
  </si>
  <si>
    <t>14:04</t>
  </si>
  <si>
    <t>17:21</t>
  </si>
  <si>
    <t>14:31</t>
  </si>
  <si>
    <t>13:30</t>
  </si>
  <si>
    <t>10:59</t>
  </si>
  <si>
    <t>11:20</t>
  </si>
  <si>
    <t>1:34:36</t>
  </si>
  <si>
    <t>Tomášek 58 Zentrich 71</t>
  </si>
  <si>
    <t>Lyžaři Otrokovice</t>
  </si>
  <si>
    <t>13:33</t>
  </si>
  <si>
    <t>13:28</t>
  </si>
  <si>
    <t>14:00</t>
  </si>
  <si>
    <t>13:41</t>
  </si>
  <si>
    <t>13:54</t>
  </si>
  <si>
    <t>1:35:17</t>
  </si>
  <si>
    <t>Vacl 79 Krejča 69</t>
  </si>
  <si>
    <t>CONTI IT</t>
  </si>
  <si>
    <t>15:25</t>
  </si>
  <si>
    <t>13:19</t>
  </si>
  <si>
    <t>12:51</t>
  </si>
  <si>
    <t>13:51</t>
  </si>
  <si>
    <t>13:29</t>
  </si>
  <si>
    <t>13:01</t>
  </si>
  <si>
    <t>14:25</t>
  </si>
  <si>
    <t>1:36:17</t>
  </si>
  <si>
    <t>Kuršová Horková</t>
  </si>
  <si>
    <t>SSC Otrokovice</t>
  </si>
  <si>
    <t>12:48</t>
  </si>
  <si>
    <t>15:29</t>
  </si>
  <si>
    <t>14:08</t>
  </si>
  <si>
    <t>14:24</t>
  </si>
  <si>
    <t>13:45</t>
  </si>
  <si>
    <t>13:43</t>
  </si>
  <si>
    <t>12:34</t>
  </si>
  <si>
    <t>1:36:49</t>
  </si>
  <si>
    <t>Matyák 74 Křížka 79</t>
  </si>
  <si>
    <t>Petka Bikercore OE</t>
  </si>
  <si>
    <t>12:10</t>
  </si>
  <si>
    <t>14:23</t>
  </si>
  <si>
    <t>14:54</t>
  </si>
  <si>
    <t>15:20</t>
  </si>
  <si>
    <t>15:03</t>
  </si>
  <si>
    <t>12:08</t>
  </si>
  <si>
    <t>1:37:19</t>
  </si>
  <si>
    <t>Batam Podmolíková</t>
  </si>
  <si>
    <t>Podmolíci  veteránky</t>
  </si>
  <si>
    <t>13:34</t>
  </si>
  <si>
    <t>13:42</t>
  </si>
  <si>
    <t>13:46</t>
  </si>
  <si>
    <t>16:18</t>
  </si>
  <si>
    <t>13:53</t>
  </si>
  <si>
    <t>13:56</t>
  </si>
  <si>
    <t>1:38:39</t>
  </si>
  <si>
    <t>Sadková 73 Hála 71</t>
  </si>
  <si>
    <t>ZŠ TGM Otrokovice</t>
  </si>
  <si>
    <t>14:49</t>
  </si>
  <si>
    <t>13:11</t>
  </si>
  <si>
    <t>13:03</t>
  </si>
  <si>
    <t>17:42</t>
  </si>
  <si>
    <t>15:59</t>
  </si>
  <si>
    <t>1:39:09</t>
  </si>
  <si>
    <t>Penner Holub</t>
  </si>
  <si>
    <t>Moraviaman</t>
  </si>
  <si>
    <t>14:11</t>
  </si>
  <si>
    <t>14:26</t>
  </si>
  <si>
    <t>15:36</t>
  </si>
  <si>
    <t>14:40</t>
  </si>
  <si>
    <t>13:25</t>
  </si>
  <si>
    <t>1:39:23</t>
  </si>
  <si>
    <t>Bursová I Bursa R</t>
  </si>
  <si>
    <t>Bursovi</t>
  </si>
  <si>
    <t>11:23</t>
  </si>
  <si>
    <t>16:19</t>
  </si>
  <si>
    <t>17:19</t>
  </si>
  <si>
    <t>17:26</t>
  </si>
  <si>
    <t>15:42</t>
  </si>
  <si>
    <t>1:40:24</t>
  </si>
  <si>
    <t>Kývala 79 Procházka 77</t>
  </si>
  <si>
    <t>CONTI STANDARD</t>
  </si>
  <si>
    <t>12:38</t>
  </si>
  <si>
    <t>12:46</t>
  </si>
  <si>
    <t>16:03</t>
  </si>
  <si>
    <t>15:16</t>
  </si>
  <si>
    <t>15:31</t>
  </si>
  <si>
    <t>15:23</t>
  </si>
  <si>
    <t>1:41:27</t>
  </si>
  <si>
    <t>Řezníček 82 Sedlářová 85</t>
  </si>
  <si>
    <t>Vydrž, Prťka, vydrž!</t>
  </si>
  <si>
    <t>11:49</t>
  </si>
  <si>
    <t>12:16</t>
  </si>
  <si>
    <t>16:33</t>
  </si>
  <si>
    <t>16:23</t>
  </si>
  <si>
    <t>16:12</t>
  </si>
  <si>
    <t>1:41:32</t>
  </si>
  <si>
    <t>Bisová Bis</t>
  </si>
  <si>
    <t>Pohodáři</t>
  </si>
  <si>
    <t>11:57</t>
  </si>
  <si>
    <t>17:40</t>
  </si>
  <si>
    <t>12:06</t>
  </si>
  <si>
    <t>17:50</t>
  </si>
  <si>
    <t>11:55</t>
  </si>
  <si>
    <t>18:00</t>
  </si>
  <si>
    <t>16:15</t>
  </si>
  <si>
    <t>1:45:40</t>
  </si>
  <si>
    <t>Dorazilová Skripcová</t>
  </si>
  <si>
    <t>RH Kroměříž</t>
  </si>
  <si>
    <t>15:11</t>
  </si>
  <si>
    <t>14:57</t>
  </si>
  <si>
    <t>14:59</t>
  </si>
  <si>
    <t>15:43</t>
  </si>
  <si>
    <t>15:21</t>
  </si>
  <si>
    <t>1:46:00</t>
  </si>
  <si>
    <t>Kolaja 81 Vařák 82</t>
  </si>
  <si>
    <t>Go Emma 2014</t>
  </si>
  <si>
    <t>15:37</t>
  </si>
  <si>
    <t>15:45</t>
  </si>
  <si>
    <t>15:32</t>
  </si>
  <si>
    <t>15:53</t>
  </si>
  <si>
    <t>1:46:22</t>
  </si>
  <si>
    <t>Pelikán Pončíková</t>
  </si>
  <si>
    <t>16:47</t>
  </si>
  <si>
    <t>16:37</t>
  </si>
  <si>
    <t>16:01</t>
  </si>
  <si>
    <t>13:57</t>
  </si>
  <si>
    <t>14:14</t>
  </si>
  <si>
    <t>14:01</t>
  </si>
  <si>
    <t>1:47:50</t>
  </si>
  <si>
    <t>Neišl Vít 98 Vojtášek P. 01</t>
  </si>
  <si>
    <t>Přátelé Lanáčku</t>
  </si>
  <si>
    <t>14:50</t>
  </si>
  <si>
    <t>13:02</t>
  </si>
  <si>
    <t>17:32</t>
  </si>
  <si>
    <t>15:46</t>
  </si>
  <si>
    <t>17:23</t>
  </si>
  <si>
    <t>1:48:03</t>
  </si>
  <si>
    <t>Chytilová Tulach</t>
  </si>
  <si>
    <t>14:20</t>
  </si>
  <si>
    <t>14:43</t>
  </si>
  <si>
    <t>15:10</t>
  </si>
  <si>
    <t>15:13</t>
  </si>
  <si>
    <t>16:59</t>
  </si>
  <si>
    <t>1:48:33</t>
  </si>
  <si>
    <t>Janečka 73 Kél 72</t>
  </si>
  <si>
    <t>SKÁJ Team Lanáček</t>
  </si>
  <si>
    <t>15:44</t>
  </si>
  <si>
    <t>15:35</t>
  </si>
  <si>
    <t>17:45</t>
  </si>
  <si>
    <t>1:50:32</t>
  </si>
  <si>
    <t>Erben Záhořák</t>
  </si>
  <si>
    <t>SHERON</t>
  </si>
  <si>
    <t>15:56</t>
  </si>
  <si>
    <t>16:26</t>
  </si>
  <si>
    <t>16:05</t>
  </si>
  <si>
    <t>16:29</t>
  </si>
  <si>
    <t>16:10</t>
  </si>
  <si>
    <t>1:51:23</t>
  </si>
  <si>
    <t>Bantová 72 Zezulková 69</t>
  </si>
  <si>
    <t>Lyžaři  Otrokovice</t>
  </si>
  <si>
    <t>16:36</t>
  </si>
  <si>
    <t>16:46</t>
  </si>
  <si>
    <t>16:22</t>
  </si>
  <si>
    <t>17:27</t>
  </si>
  <si>
    <t>1:55:51</t>
  </si>
  <si>
    <t>A.Horková</t>
  </si>
  <si>
    <t>J.Olšaník</t>
  </si>
  <si>
    <t>Z.Kuršová</t>
  </si>
  <si>
    <t>J.Urban</t>
  </si>
  <si>
    <t>D.Kubičík</t>
  </si>
  <si>
    <t>čas:</t>
  </si>
  <si>
    <t>min/km</t>
  </si>
  <si>
    <t>4:14,90</t>
  </si>
  <si>
    <t>5:08,33</t>
  </si>
  <si>
    <t>4:35,43</t>
  </si>
  <si>
    <t>4:10,25</t>
  </si>
  <si>
    <t>4:33,15</t>
  </si>
  <si>
    <t>4:33,81</t>
  </si>
  <si>
    <t>4:46,76</t>
  </si>
  <si>
    <t>4:41,45</t>
  </si>
  <si>
    <t>celkem</t>
  </si>
  <si>
    <t>mem. Josefa Podmolíka  v půlmaratonu  2014</t>
  </si>
  <si>
    <t>T.Štebrová</t>
  </si>
  <si>
    <t>věk</t>
  </si>
  <si>
    <t>13let</t>
  </si>
  <si>
    <t>61let</t>
  </si>
  <si>
    <t>11let</t>
  </si>
  <si>
    <t>59let</t>
  </si>
  <si>
    <t>14let</t>
  </si>
  <si>
    <t>42let</t>
  </si>
  <si>
    <t>40let</t>
  </si>
  <si>
    <t>34,3let</t>
  </si>
  <si>
    <t>jméno</t>
  </si>
  <si>
    <t xml:space="preserve">SK ARNOLD CLUB OTROKOVICE </t>
  </si>
  <si>
    <t>SSC OTROKOVICE</t>
  </si>
  <si>
    <t>kulturistika</t>
  </si>
  <si>
    <t>12:02</t>
  </si>
  <si>
    <t>4:01,50</t>
  </si>
  <si>
    <t>9:52</t>
  </si>
  <si>
    <t>3:18,00</t>
  </si>
  <si>
    <t>1:19:18</t>
  </si>
  <si>
    <t>46let</t>
  </si>
  <si>
    <t>27let</t>
  </si>
  <si>
    <t>J.Daněk</t>
  </si>
  <si>
    <t>J.Šťourač</t>
  </si>
  <si>
    <t>O.Wilczynski</t>
  </si>
  <si>
    <t>M.Krul</t>
  </si>
  <si>
    <t>10:18</t>
  </si>
  <si>
    <t>12:50</t>
  </si>
  <si>
    <t>E.Cvrkalová</t>
  </si>
  <si>
    <t>M.Nemček</t>
  </si>
  <si>
    <t>in-line 3014m</t>
  </si>
  <si>
    <t>VO2max.</t>
  </si>
  <si>
    <t>štafety - běh</t>
  </si>
  <si>
    <r>
      <rPr>
        <b/>
        <sz val="8"/>
        <color rgb="FFFF0000"/>
        <rFont val="Calibri"/>
        <family val="2"/>
        <charset val="238"/>
        <scheme val="minor"/>
      </rPr>
      <t>výpočet VO2 MAX.</t>
    </r>
    <r>
      <rPr>
        <sz val="8"/>
        <color rgb="FFFF0000"/>
        <rFont val="Calibri"/>
        <family val="2"/>
        <charset val="238"/>
        <scheme val="minor"/>
      </rPr>
      <t xml:space="preserve"> </t>
    </r>
    <r>
      <rPr>
        <sz val="8"/>
        <rFont val="Calibri"/>
        <family val="2"/>
        <charset val="238"/>
        <scheme val="minor"/>
      </rPr>
      <t>(22,351 x počet km za 12min)-11,288</t>
    </r>
  </si>
  <si>
    <t>  jméno</t>
  </si>
  <si>
    <t>vzdálenost</t>
  </si>
  <si>
    <t>   dat.nar.</t>
  </si>
  <si>
    <t> kateg.</t>
  </si>
  <si>
    <t>km/hod</t>
  </si>
  <si>
    <t>  2 760m</t>
  </si>
  <si>
    <t> 1</t>
  </si>
  <si>
    <t>st.žačky</t>
  </si>
  <si>
    <t> 13,80</t>
  </si>
  <si>
    <t> 50,400</t>
  </si>
  <si>
    <t>J.Černoch</t>
  </si>
  <si>
    <t>  2 665m</t>
  </si>
  <si>
    <t> 4</t>
  </si>
  <si>
    <t>ml.žáci</t>
  </si>
  <si>
    <t> 13,33</t>
  </si>
  <si>
    <t> 48,277</t>
  </si>
  <si>
    <t>  2 550m</t>
  </si>
  <si>
    <t> 3</t>
  </si>
  <si>
    <t>ml.žáč.</t>
  </si>
  <si>
    <t> 12,75</t>
  </si>
  <si>
    <t> 45,707</t>
  </si>
  <si>
    <t>BĚH NA 12 MINUT</t>
  </si>
  <si>
    <t>pořadí</t>
  </si>
  <si>
    <t>hodnoty</t>
  </si>
  <si>
    <t>2) dobrá</t>
  </si>
  <si>
    <t>3) nadprůměrná</t>
  </si>
  <si>
    <t>1:34:16</t>
  </si>
  <si>
    <t>M.Uherka</t>
  </si>
  <si>
    <t>41let</t>
  </si>
  <si>
    <t>12let</t>
  </si>
  <si>
    <t>16let</t>
  </si>
  <si>
    <t>43let</t>
  </si>
  <si>
    <t>60let</t>
  </si>
  <si>
    <t>11:50</t>
  </si>
  <si>
    <t>12:43</t>
  </si>
  <si>
    <t>13:08</t>
  </si>
  <si>
    <t>14:47</t>
  </si>
  <si>
    <t>mem. Josefa Podmolíka  v půlmaratonu  2015</t>
  </si>
  <si>
    <t>BP#99 International</t>
  </si>
  <si>
    <t>21F</t>
  </si>
  <si>
    <t>Kerteam</t>
  </si>
  <si>
    <t>GJS ZLÍN</t>
  </si>
  <si>
    <t>BP#99 rodina a přátelé</t>
  </si>
  <si>
    <t>Slečinky Napajedla</t>
  </si>
  <si>
    <t>Tenis Jiskra Otrokovice</t>
  </si>
  <si>
    <t>Bursovi Trilife</t>
  </si>
  <si>
    <t>Panthers Otrokovice</t>
  </si>
  <si>
    <t>Continental Barum - Lisovna PLT A</t>
  </si>
  <si>
    <t>Kdo trénuje si nevěří</t>
  </si>
  <si>
    <t>Podmolík Team</t>
  </si>
  <si>
    <t>Continental Barum - Válcovna směna C</t>
  </si>
  <si>
    <t>Continental Barum - Conti-Mental Team</t>
  </si>
  <si>
    <t>MDP GEO</t>
  </si>
  <si>
    <t>Continental Barum - HR + FC</t>
  </si>
  <si>
    <t>Napajedla město v pohybu</t>
  </si>
  <si>
    <t>DIBOŽESUCH</t>
  </si>
  <si>
    <t>Bažina Bar</t>
  </si>
  <si>
    <t>POMPA.CZ</t>
  </si>
  <si>
    <t>Velký Ořechov</t>
  </si>
  <si>
    <t>Continental Barum - RUN IT!</t>
  </si>
  <si>
    <t>Continental Barum - Kvalita</t>
  </si>
  <si>
    <t>Continental Barum - Rychlé Šípy</t>
  </si>
  <si>
    <t>Padělky 007</t>
  </si>
  <si>
    <t>Continental Barum - VFB konstrukce</t>
  </si>
  <si>
    <t>Moraviaman Otrokovice</t>
  </si>
  <si>
    <t>Continental Barum - Výroba forem I</t>
  </si>
  <si>
    <t>Dubnická street racing</t>
  </si>
  <si>
    <t>Continental Barum - Conti Standard</t>
  </si>
  <si>
    <t>Continental Barum - Už tam budem?</t>
  </si>
  <si>
    <t>Vyhaslé hvězdy</t>
  </si>
  <si>
    <t>Continental Barum - Výroba forem II</t>
  </si>
  <si>
    <t>Continental Barum - To dáme</t>
  </si>
  <si>
    <t>NADĚJE Otrokovice</t>
  </si>
  <si>
    <t>NWT a.s. - Datové centrum Silo</t>
  </si>
  <si>
    <t>Běhny</t>
  </si>
  <si>
    <t>SKÁJ Team</t>
  </si>
  <si>
    <t>Continental Barum - Last minute</t>
  </si>
  <si>
    <t>Velká rodina</t>
  </si>
  <si>
    <t>Pohodáři Chrudim</t>
  </si>
  <si>
    <t>James Emuria                               Justus Jepchirchir KIPRONO James Emuria Justus Jepchirchir KIPRONO Zita Kácser James Emuria Justus Jepchirchir KIPRONO</t>
  </si>
  <si>
    <t>Robert Pšenčík                            Martin Krchňáček Jaroslav Vaněk Michal Nagy Lukáš Volek Robert Pšenčík</t>
  </si>
  <si>
    <t>Radomír Bursa                         Radomír Bursa Radomír Bursa Iveta Bursová Radomír Bursa Radomír Bursa Kryštof Bursa</t>
  </si>
  <si>
    <t>Tomáš Podmolík                                       Jones Podmolík Štěpán Zvoníček Martina Staněk Dagmar Podmolíková Marcela Skácelová Martin Zvoníček</t>
  </si>
  <si>
    <t>Stanislav Mudrák                                     Karel Szkandera Stanislav Mudrák Karel Szkandera Stanislav Mudrák Karel Szkandera Stanislav Mudrák</t>
  </si>
  <si>
    <t>Daniel Loveček                              Daniel Loveček Daniel Loveček Jindřich Polák Michal Marek Michal Marek Michal Marek</t>
  </si>
  <si>
    <t>Jan Kolomazník                                    Jan Kolomazník Marek Rozsypalek</t>
  </si>
  <si>
    <t>Markéta Vojtášková                                    Petr Vojtášková Renata Neišlová Vítek Neišl Josef Pospíšil Pavel Tomášek</t>
  </si>
  <si>
    <t>Ivetq Bundzíková                               Iveta Bundzíková Josef Honzík Pavel Odstrčilík Libor Novák</t>
  </si>
  <si>
    <t>Veronika Lagová                              Tadeáš Penner Jiří Penner Jiří Daněk</t>
  </si>
  <si>
    <t>Vladimír Pospíšil                               Tomáš Glacla Radek Minařík Radek Vodinský Lukáš Rudecký Martin Václavek Jakub Kotík</t>
  </si>
  <si>
    <t>Milan Samohýl                                       Petr Pavlíček Vendula Pavlíčková Vladimír Horák Kateřina Samohýlová Tomáš Hanák Milan Samohýl</t>
  </si>
  <si>
    <t>Alena Pompová                                Alena Pompová Ludmila Pompová Pavel Horák Pavel Dobeš Pavel Dobeš Zdenek Jurčík</t>
  </si>
  <si>
    <t>Tereza Šumíčková                                   Andrea Kucejová Andrea Lettavová Petr Staněk Radek Holub Lukáš Matuška</t>
  </si>
  <si>
    <t>Dominika Remešová                                  Vendula Zapletalová Kristýna Havlíková Kateřina Seobalová Natálie Nádeníčková Radim Bobalík David Pištecký</t>
  </si>
  <si>
    <t>Michal Skovajsa                                    Michal Skovajsa Radek Martinec Martin Koplík Lukáš Graubner Radek Foukal Josef Laščák</t>
  </si>
  <si>
    <t>Jiří Hubík Jiří Hubík                             Marek Šugra</t>
  </si>
  <si>
    <t>Renata Zezulková                               Zuzana Poláková Adrian Vrzal Markéta Horková Jana Šormová Martin Helísek Pavel Stuchlík</t>
  </si>
  <si>
    <t>Stanislav Mlčoch                             Tomáš Veŕner Stanislav Mlčoch</t>
  </si>
  <si>
    <t>Lucie Urbanová                         Veronika Palacká Adriana Štolfová Lucie Urbanová</t>
  </si>
  <si>
    <t>Stanislav Kel                                      Petra Uhříčková Miroslav Janeček Karolína Geriková Petra Bartošová Lenka Říčařová Milan Šíma</t>
  </si>
  <si>
    <t>Maria Kobrtková                                      Renata Uhercová Regina Feiferlíková Barbora Klímová Ivana Kunzová Lenka Pinkasová Lenka Pinkasová</t>
  </si>
  <si>
    <t>David Nádeníček                                Karel Nádeníček Tomáš Nádeníček David Nádeníček Karolína Nádeníčková Nikol Fusová Bronislava Kadlčáková</t>
  </si>
  <si>
    <t>Nikola Bisová                               Viktor Bis Dalibor Bis Zuzana Bisová</t>
  </si>
  <si>
    <t>Martin Vaňko                                                      Petr Zábojník Martin Vaňho Iveta Vrlová Lukáš Klusáček Tomáš Hůrek Rudolf Klačánek</t>
  </si>
  <si>
    <t>Kateřina Mášová                                             Eva Lužová Kateřina Mášová Blanka Zapletalová Jaroslava Sadková Jana Skochová</t>
  </si>
  <si>
    <t>Petr Macho                                                         Roman Žemla                                     Tadeáš Talafa Lenka Talafová Zdeněk Talafa Pavel Macho Petr Novák</t>
  </si>
  <si>
    <t>Ivan Svoboda                                                  Robert Laga Jan Pavlíček Jan Černošek Ladislav Velič Michael Štefka Libor Lázníček</t>
  </si>
  <si>
    <t>Petr Jasanský                                             Iva Kořenková                            Monika Sedlářová</t>
  </si>
  <si>
    <t>Tomáš Frňka                                         Simona Llanos                                 Tomáš Mikoška Jaroslav Krkoška Jakub Tesař Eduard Ferbas Tomáš Komíž</t>
  </si>
  <si>
    <t>Lukáš Svozil                                                                Jiří Foukal                                 Michal Friedrich Pavel Měščánek Tomáš Minarčík Lukáš Svozil Zbyněk Vacl</t>
  </si>
  <si>
    <t>Jiří Mana                                                    Jiří Mana                                     Jiří Mana Karel Mrázek Karel Mrázek Karel Mrázek Jiří Mana</t>
  </si>
  <si>
    <t>Tomáš Vařák                                                     Petr Oharek                               Petr Burieta Zuzana Bahulová</t>
  </si>
  <si>
    <t>Pindur Ivo                                                                            Pindur Jan                                     Koňařík Vendula Ondrášová Ondřej Střítecký</t>
  </si>
  <si>
    <t>Zdeněk Palacký                                                                                          David Stavjaník</t>
  </si>
  <si>
    <t>Martin Kunz                                                                Michal Karlík                                Petr Kunz David Zentrich Jan Kunz Jiří Kunz Dušan Zentrich</t>
  </si>
  <si>
    <t>Radim Vaculík                                                            Stanislav                                 Dorazín Antonín Šiška Václav Šimeček Petr Drulák Petr Marholt</t>
  </si>
  <si>
    <t>Jiří Ocelík                                                                               Pavel Trčka                                   Jiří Ocelík Zdeněk Kovařík Michal Strakoš Petr Bukovjan Hynek Vaněk</t>
  </si>
  <si>
    <t>Jakub Hora                                                                          Petra Jenyšová                                         Martin Žák Martin Nagy Ondřej Habr Jakub Hora Ondřej Gajdůšek</t>
  </si>
  <si>
    <t>Eva Pekárková                                                                                Eva Pekárková Hana Batani Hana Batani Evžen Pekárek Evžen Pekárek Evžen Pekárek</t>
  </si>
  <si>
    <t>Jiri Jugas                                                          Petr Pelánek                                 Petr Kovaří Klára Jugasová Václav Laščák</t>
  </si>
  <si>
    <t>Jiří Vodárek                                                                     Stanislav Nebojsa Jaroslav Šmedek Lukáš Budík Tomáš Budík David Josefčák Michal Kroupa</t>
  </si>
  <si>
    <t>Michal Holub                                                                     Michal Holub                                         Martin Holub Martin Holub Radim Holub Radim Holub Radim Holub</t>
  </si>
  <si>
    <t>Matěj Nekoranec                                                                  Libor Černoc                     ký Matěj Nekoranec Libor Černocký Matěj Nekoranec Libor Černocký Matěj Nekoranec</t>
  </si>
  <si>
    <t>Jiří Franc                                                    Pavel Siegl                                                Jan Zahradník Dalibor Slovák Viktor Šinágl Ondřej Chour Roman Paulík</t>
  </si>
  <si>
    <t>Ivona Dostálová                                                                        Adam Dostál Přema Žaludek Ludmila Maňáková Tomáš Maňák Jan Svoboda</t>
  </si>
  <si>
    <t>Vít Erben Vít Erben                                                                       Eva Hesková Monika Erbenová</t>
  </si>
  <si>
    <t>Barbora Krejčová                                                                          katerina michalcikova barbora krejčová</t>
  </si>
  <si>
    <t>David Kovář                                                                               Lenka Štěpánková Lenka Štěpánková David Zentrich Martina Bantová Martina Bantová Lenka Štěpánková</t>
  </si>
  <si>
    <t>Pavel Kopsa                                                                                                      Aleš Kovařčík</t>
  </si>
  <si>
    <t>Igor Velcer                                                                                              Eva Solařová</t>
  </si>
  <si>
    <r>
      <t xml:space="preserve">Martin Kleibl                                                               Martin Kleibl - Martin Kleibl - </t>
    </r>
    <r>
      <rPr>
        <sz val="10"/>
        <color rgb="FFFF0000"/>
        <rFont val="Arial"/>
        <family val="2"/>
        <charset val="238"/>
      </rPr>
      <t>Marcel Nemček</t>
    </r>
    <r>
      <rPr>
        <sz val="10"/>
        <color rgb="FF000000"/>
        <rFont val="Arial"/>
        <family val="2"/>
        <charset val="238"/>
      </rPr>
      <t xml:space="preserve"> - Radomír Bursa - Robert Pšenčík - Ondřej Trdlica</t>
    </r>
  </si>
  <si>
    <t>Dagmar Rulfová                                                                                                   Dagmar Rulfová Zita Kührová Ondřej Kühr Kateřina Rulfová Kateřina Hynečková Jan Hyneček</t>
  </si>
  <si>
    <t>běh 3014m</t>
  </si>
  <si>
    <t>28,4let</t>
  </si>
  <si>
    <t>11:46</t>
  </si>
  <si>
    <t>14:59.19</t>
  </si>
  <si>
    <t>3:29.18</t>
  </si>
  <si>
    <t>26:14.10</t>
  </si>
  <si>
    <t>4:26.32</t>
  </si>
  <si>
    <t>56:59.18</t>
  </si>
  <si>
    <t>100m</t>
  </si>
  <si>
    <t>3000m</t>
  </si>
  <si>
    <t>800m</t>
  </si>
  <si>
    <t>200m</t>
  </si>
  <si>
    <t>5000m</t>
  </si>
  <si>
    <t>1000m</t>
  </si>
  <si>
    <t>10000m</t>
  </si>
  <si>
    <t>Hranice 8.5.2016</t>
  </si>
  <si>
    <t>Běžecký desetiboj</t>
  </si>
  <si>
    <r>
      <rPr>
        <b/>
        <sz val="8"/>
        <color rgb="FFFF0000"/>
        <rFont val="Calibri"/>
        <family val="2"/>
        <charset val="238"/>
        <scheme val="minor"/>
      </rPr>
      <t>výpočet VO2 max.</t>
    </r>
    <r>
      <rPr>
        <sz val="8"/>
        <color rgb="FFFF0000"/>
        <rFont val="Calibri"/>
        <family val="2"/>
        <charset val="238"/>
        <scheme val="minor"/>
      </rPr>
      <t xml:space="preserve"> </t>
    </r>
    <r>
      <rPr>
        <sz val="8"/>
        <rFont val="Calibri"/>
        <family val="2"/>
        <charset val="238"/>
        <scheme val="minor"/>
      </rPr>
      <t>(22,351 x počet km za 12min) -11,288</t>
    </r>
  </si>
  <si>
    <t xml:space="preserve"> Bohunka  Kotenová </t>
  </si>
  <si>
    <t>BP#99 rodina a přátelé  -- 6 úsek</t>
  </si>
  <si>
    <t>15let</t>
  </si>
  <si>
    <t>17let</t>
  </si>
  <si>
    <t>44let</t>
  </si>
  <si>
    <t>29,4let</t>
  </si>
  <si>
    <t>rok</t>
  </si>
  <si>
    <t>čas</t>
  </si>
  <si>
    <t>VO2max</t>
  </si>
  <si>
    <t>2) dobré</t>
  </si>
  <si>
    <t>3) nadprůměrné</t>
  </si>
  <si>
    <t>0:00,00</t>
  </si>
  <si>
    <t>00:00</t>
  </si>
  <si>
    <t>41let*</t>
  </si>
  <si>
    <t>13:00</t>
  </si>
  <si>
    <t>mem. Josefa Podmolíka  v půlmaratonu  2016</t>
  </si>
  <si>
    <t xml:space="preserve">Marcel Nemček                                           1)Marcel Nemček  2)Aneta Horková - 3)Zuzana Kuršová - 4)Jaroslav Černoch - 5)Marian Uherka - 6)David Kubičík - 7)Jiří Urban </t>
  </si>
  <si>
    <t xml:space="preserve">Kuršová Horková                                                 1)Aneta Horková - 2)Jiří Olšaník - 3)Zuzana Kuršová - 4)Jiří Urban - 5)Tereza Štěbrová - 6)David Kubičík - 7)Marcel Nemček </t>
  </si>
  <si>
    <t>Vkt.</t>
  </si>
  <si>
    <t>Kat.</t>
  </si>
  <si>
    <t>Vkat.</t>
  </si>
  <si>
    <t>Finish</t>
  </si>
  <si>
    <t>Ztráta</t>
  </si>
  <si>
    <t>Min/km</t>
  </si>
  <si>
    <t>Km/h</t>
  </si>
  <si>
    <t>SF</t>
  </si>
  <si>
    <t>12:25</t>
  </si>
  <si>
    <t>13:05</t>
  </si>
  <si>
    <t>11:53</t>
  </si>
  <si>
    <t>11:44</t>
  </si>
  <si>
    <t>1:25:27</t>
  </si>
  <si>
    <t>4:03</t>
  </si>
  <si>
    <t>14.8</t>
  </si>
  <si>
    <t>Continental Barum- Válcovna</t>
  </si>
  <si>
    <t>12:57</t>
  </si>
  <si>
    <t>12:44</t>
  </si>
  <si>
    <t>1:25:38</t>
  </si>
  <si>
    <t>0:11</t>
  </si>
  <si>
    <t>4:04</t>
  </si>
  <si>
    <t>13:24</t>
  </si>
  <si>
    <t>11:34</t>
  </si>
  <si>
    <t>13:58</t>
  </si>
  <si>
    <t>1:29:55</t>
  </si>
  <si>
    <t>4:28</t>
  </si>
  <si>
    <t>4:16</t>
  </si>
  <si>
    <t>14.1</t>
  </si>
  <si>
    <t>TJ JISKRA Otrokovice</t>
  </si>
  <si>
    <t>13:38</t>
  </si>
  <si>
    <t>12:03</t>
  </si>
  <si>
    <t>1:30:50</t>
  </si>
  <si>
    <t>5:23</t>
  </si>
  <si>
    <t>4:19</t>
  </si>
  <si>
    <t>13.9</t>
  </si>
  <si>
    <t>Gymnázium Otrokovice</t>
  </si>
  <si>
    <t>SD</t>
  </si>
  <si>
    <t>14:52</t>
  </si>
  <si>
    <t>11:54</t>
  </si>
  <si>
    <t>12:47</t>
  </si>
  <si>
    <t>11:47</t>
  </si>
  <si>
    <t>1:31:20</t>
  </si>
  <si>
    <t>5:53</t>
  </si>
  <si>
    <t>4:20</t>
  </si>
  <si>
    <t>TJ Ostrožská Nová Ves</t>
  </si>
  <si>
    <t>15:19</t>
  </si>
  <si>
    <t>12:36</t>
  </si>
  <si>
    <t>15:39</t>
  </si>
  <si>
    <t>1:33:36</t>
  </si>
  <si>
    <t>8:09</t>
  </si>
  <si>
    <t>4:27</t>
  </si>
  <si>
    <t>13.5</t>
  </si>
  <si>
    <t>SK Alpaka Vyškov</t>
  </si>
  <si>
    <t>13:17</t>
  </si>
  <si>
    <t>12:13</t>
  </si>
  <si>
    <t>12:33</t>
  </si>
  <si>
    <t>1:33:40</t>
  </si>
  <si>
    <t>8:13</t>
  </si>
  <si>
    <t>Continental Barum- PI</t>
  </si>
  <si>
    <t>12:52</t>
  </si>
  <si>
    <t>12:39</t>
  </si>
  <si>
    <t>13:04</t>
  </si>
  <si>
    <t>14:10</t>
  </si>
  <si>
    <t>8:38</t>
  </si>
  <si>
    <t>16:41</t>
  </si>
  <si>
    <t>11:40</t>
  </si>
  <si>
    <t>1:34:49</t>
  </si>
  <si>
    <t>9:22</t>
  </si>
  <si>
    <t>4:30</t>
  </si>
  <si>
    <t>13.3</t>
  </si>
  <si>
    <t>Continental Barum- Kvalita</t>
  </si>
  <si>
    <t>13:55</t>
  </si>
  <si>
    <t>12:40</t>
  </si>
  <si>
    <t>14:12</t>
  </si>
  <si>
    <t>1:36:19</t>
  </si>
  <si>
    <t>10:52</t>
  </si>
  <si>
    <t>4:34</t>
  </si>
  <si>
    <t>13.1</t>
  </si>
  <si>
    <t>12:41</t>
  </si>
  <si>
    <t>13:35</t>
  </si>
  <si>
    <t>15:58</t>
  </si>
  <si>
    <t>12:20</t>
  </si>
  <si>
    <t>1:36:33</t>
  </si>
  <si>
    <t>11:06</t>
  </si>
  <si>
    <t>4:35</t>
  </si>
  <si>
    <t>Continental Barum- RUN IT!</t>
  </si>
  <si>
    <t>14:41</t>
  </si>
  <si>
    <t>13:52</t>
  </si>
  <si>
    <t>13:50</t>
  </si>
  <si>
    <t>15:17</t>
  </si>
  <si>
    <t>1:36:35</t>
  </si>
  <si>
    <t>11:08</t>
  </si>
  <si>
    <t>13:06</t>
  </si>
  <si>
    <t>13:37</t>
  </si>
  <si>
    <t>1:37:06</t>
  </si>
  <si>
    <t>11:39</t>
  </si>
  <si>
    <t>4:37</t>
  </si>
  <si>
    <t>13.0</t>
  </si>
  <si>
    <t>veslaři TJ Jiskra Otrokovice</t>
  </si>
  <si>
    <t>15:14</t>
  </si>
  <si>
    <t>15:41</t>
  </si>
  <si>
    <t>15:01</t>
  </si>
  <si>
    <t>1:37:25</t>
  </si>
  <si>
    <t>11:58</t>
  </si>
  <si>
    <t>4:38</t>
  </si>
  <si>
    <t>DIBOŽESUCH - UK ZLÍN</t>
  </si>
  <si>
    <t>14:13</t>
  </si>
  <si>
    <t>14:06</t>
  </si>
  <si>
    <t>15:08</t>
  </si>
  <si>
    <t>13:10</t>
  </si>
  <si>
    <t>1:38:03</t>
  </si>
  <si>
    <t>4:39</t>
  </si>
  <si>
    <t>12.9</t>
  </si>
  <si>
    <t>15:48</t>
  </si>
  <si>
    <t>12:24</t>
  </si>
  <si>
    <t>1:38:05</t>
  </si>
  <si>
    <t>14:16</t>
  </si>
  <si>
    <t>14:02</t>
  </si>
  <si>
    <t>1:39:00</t>
  </si>
  <si>
    <t>4:42</t>
  </si>
  <si>
    <t>12.8</t>
  </si>
  <si>
    <t>TOMA, a.s.</t>
  </si>
  <si>
    <t>13:13</t>
  </si>
  <si>
    <t>1:39:03</t>
  </si>
  <si>
    <t>12:37</t>
  </si>
  <si>
    <t>13:49</t>
  </si>
  <si>
    <t>14:30</t>
  </si>
  <si>
    <t>13:27</t>
  </si>
  <si>
    <t>1:39:06</t>
  </si>
  <si>
    <t>13:39</t>
  </si>
  <si>
    <t>15:24</t>
  </si>
  <si>
    <t>15:18</t>
  </si>
  <si>
    <t>1:39:55</t>
  </si>
  <si>
    <t>14:28</t>
  </si>
  <si>
    <t>4:45</t>
  </si>
  <si>
    <t>12.7</t>
  </si>
  <si>
    <t>Mattoni Freerun Zlín</t>
  </si>
  <si>
    <t>12:15</t>
  </si>
  <si>
    <t>14:56</t>
  </si>
  <si>
    <t>1:40:38</t>
  </si>
  <si>
    <t>4:47</t>
  </si>
  <si>
    <t>12.6</t>
  </si>
  <si>
    <t>Rodina Podmolíkova</t>
  </si>
  <si>
    <t>13:48</t>
  </si>
  <si>
    <t>14:21</t>
  </si>
  <si>
    <t>15:47</t>
  </si>
  <si>
    <t>13:26</t>
  </si>
  <si>
    <t>18:15</t>
  </si>
  <si>
    <t>1:41:29</t>
  </si>
  <si>
    <t>16:02</t>
  </si>
  <si>
    <t>4:49</t>
  </si>
  <si>
    <t>12.5</t>
  </si>
  <si>
    <t>Chrudimské želvy</t>
  </si>
  <si>
    <t>15:30</t>
  </si>
  <si>
    <t>17:13</t>
  </si>
  <si>
    <t>17:02</t>
  </si>
  <si>
    <t>12:32</t>
  </si>
  <si>
    <t>1:41:39</t>
  </si>
  <si>
    <t>4:50</t>
  </si>
  <si>
    <t>Pompa.cz</t>
  </si>
  <si>
    <t>14:45</t>
  </si>
  <si>
    <t>16:00</t>
  </si>
  <si>
    <t>15:07</t>
  </si>
  <si>
    <t>1:43:41</t>
  </si>
  <si>
    <t>18:14</t>
  </si>
  <si>
    <t>4:55</t>
  </si>
  <si>
    <t>12.2</t>
  </si>
  <si>
    <t>Continental Barum- Conti Standard</t>
  </si>
  <si>
    <t>16:16</t>
  </si>
  <si>
    <t>15:06</t>
  </si>
  <si>
    <t>1:43:54</t>
  </si>
  <si>
    <t>18:27</t>
  </si>
  <si>
    <t>4:56</t>
  </si>
  <si>
    <t>Continental Barum- Rychlé Šípy</t>
  </si>
  <si>
    <t>12:58</t>
  </si>
  <si>
    <t>13:14</t>
  </si>
  <si>
    <t>1:43:56</t>
  </si>
  <si>
    <t>18:29</t>
  </si>
  <si>
    <t>13:31</t>
  </si>
  <si>
    <t>17:18</t>
  </si>
  <si>
    <t>1:44:04</t>
  </si>
  <si>
    <t>18:37</t>
  </si>
  <si>
    <t>14:32</t>
  </si>
  <si>
    <t>17:15</t>
  </si>
  <si>
    <t>14:07</t>
  </si>
  <si>
    <t>1:44:19</t>
  </si>
  <si>
    <t>18:52</t>
  </si>
  <si>
    <t>4:57</t>
  </si>
  <si>
    <t>12.1</t>
  </si>
  <si>
    <t>Přátelé pohádkového pralesa</t>
  </si>
  <si>
    <t>17:10</t>
  </si>
  <si>
    <t>15:38</t>
  </si>
  <si>
    <t>16:24</t>
  </si>
  <si>
    <t>1:45:02</t>
  </si>
  <si>
    <t>19:35</t>
  </si>
  <si>
    <t>4:59</t>
  </si>
  <si>
    <t>Na pohodu :))</t>
  </si>
  <si>
    <t>18:26</t>
  </si>
  <si>
    <t>13:47</t>
  </si>
  <si>
    <t>17:09</t>
  </si>
  <si>
    <t>1:45:30</t>
  </si>
  <si>
    <t>20:03</t>
  </si>
  <si>
    <t>5:01</t>
  </si>
  <si>
    <t>12.0</t>
  </si>
  <si>
    <t>12:04</t>
  </si>
  <si>
    <t>18:25</t>
  </si>
  <si>
    <t>1:45:31</t>
  </si>
  <si>
    <t>20:04</t>
  </si>
  <si>
    <t>Ultimate Fitness</t>
  </si>
  <si>
    <t>16:25</t>
  </si>
  <si>
    <t>12:27</t>
  </si>
  <si>
    <t>18:34</t>
  </si>
  <si>
    <t>15:52</t>
  </si>
  <si>
    <t>1:46:06</t>
  </si>
  <si>
    <t>20:39</t>
  </si>
  <si>
    <t>5:02</t>
  </si>
  <si>
    <t>11.9</t>
  </si>
  <si>
    <t>PRIA</t>
  </si>
  <si>
    <t>14:37</t>
  </si>
  <si>
    <t>17:48</t>
  </si>
  <si>
    <t>16:53</t>
  </si>
  <si>
    <t>1:46:46</t>
  </si>
  <si>
    <t>21:19</t>
  </si>
  <si>
    <t>5:04</t>
  </si>
  <si>
    <t>14:51</t>
  </si>
  <si>
    <t>16:55</t>
  </si>
  <si>
    <t>16:34</t>
  </si>
  <si>
    <t>14:19</t>
  </si>
  <si>
    <t>1:46:53</t>
  </si>
  <si>
    <t>21:26</t>
  </si>
  <si>
    <t>11.8</t>
  </si>
  <si>
    <t>Continental Barum- Plant Operation</t>
  </si>
  <si>
    <t>15:57</t>
  </si>
  <si>
    <t>17:04</t>
  </si>
  <si>
    <t>1:47:01</t>
  </si>
  <si>
    <t>21:34</t>
  </si>
  <si>
    <t>5:05</t>
  </si>
  <si>
    <t>15:22</t>
  </si>
  <si>
    <t>1:47:16</t>
  </si>
  <si>
    <t>21:49</t>
  </si>
  <si>
    <t>5:06</t>
  </si>
  <si>
    <t>15:51</t>
  </si>
  <si>
    <t>17:44</t>
  </si>
  <si>
    <t>14:46</t>
  </si>
  <si>
    <t>17:55</t>
  </si>
  <si>
    <t>1:47:24</t>
  </si>
  <si>
    <t>21:57</t>
  </si>
  <si>
    <t>Continental Barum- Opravy forem</t>
  </si>
  <si>
    <t>17:59</t>
  </si>
  <si>
    <t>13:07</t>
  </si>
  <si>
    <t>17:33</t>
  </si>
  <si>
    <t>1:47:49</t>
  </si>
  <si>
    <t>22:22</t>
  </si>
  <si>
    <t>5:07</t>
  </si>
  <si>
    <t>11.7</t>
  </si>
  <si>
    <t>Sněhurka a šest trpaslíků</t>
  </si>
  <si>
    <t>17:51</t>
  </si>
  <si>
    <t>15:55</t>
  </si>
  <si>
    <t>1:47:59</t>
  </si>
  <si>
    <t>22:32</t>
  </si>
  <si>
    <t>5:08</t>
  </si>
  <si>
    <t>NOVENTIS</t>
  </si>
  <si>
    <t>16:39</t>
  </si>
  <si>
    <t>18:03</t>
  </si>
  <si>
    <t>14:53</t>
  </si>
  <si>
    <t>1:48:09</t>
  </si>
  <si>
    <t>22:42</t>
  </si>
  <si>
    <t>Napajedla</t>
  </si>
  <si>
    <t>14:38</t>
  </si>
  <si>
    <t>16:28</t>
  </si>
  <si>
    <t>1:48:28</t>
  </si>
  <si>
    <t>23:01</t>
  </si>
  <si>
    <t>5:09</t>
  </si>
  <si>
    <t>17:43</t>
  </si>
  <si>
    <t>18:19</t>
  </si>
  <si>
    <t>1:49:06</t>
  </si>
  <si>
    <t>23:39</t>
  </si>
  <si>
    <t>5:11</t>
  </si>
  <si>
    <t>11.6</t>
  </si>
  <si>
    <t>Continental Barum- Osmička</t>
  </si>
  <si>
    <t>16:56</t>
  </si>
  <si>
    <t>15:04</t>
  </si>
  <si>
    <t>1:50:10</t>
  </si>
  <si>
    <t>24:43</t>
  </si>
  <si>
    <t>5:14</t>
  </si>
  <si>
    <t>11.5</t>
  </si>
  <si>
    <t>18:04</t>
  </si>
  <si>
    <t>16:58</t>
  </si>
  <si>
    <t>16:42</t>
  </si>
  <si>
    <t>12:53</t>
  </si>
  <si>
    <t>1:50:37</t>
  </si>
  <si>
    <t>25:10</t>
  </si>
  <si>
    <t>5:15</t>
  </si>
  <si>
    <t>11.4</t>
  </si>
  <si>
    <t>Pipelife</t>
  </si>
  <si>
    <t>22:11</t>
  </si>
  <si>
    <t>14:35</t>
  </si>
  <si>
    <t>1:52:09</t>
  </si>
  <si>
    <t>26:42</t>
  </si>
  <si>
    <t>5:19</t>
  </si>
  <si>
    <t>11.3</t>
  </si>
  <si>
    <t>15:12</t>
  </si>
  <si>
    <t>18:20</t>
  </si>
  <si>
    <t>1:52:30</t>
  </si>
  <si>
    <t>27:03</t>
  </si>
  <si>
    <t>5:20</t>
  </si>
  <si>
    <t>Iglemara</t>
  </si>
  <si>
    <t>17:01</t>
  </si>
  <si>
    <t>15:26</t>
  </si>
  <si>
    <t>16:51</t>
  </si>
  <si>
    <t>17:12</t>
  </si>
  <si>
    <t>1:52:41</t>
  </si>
  <si>
    <t>27:14</t>
  </si>
  <si>
    <t>5:21</t>
  </si>
  <si>
    <t>11.2</t>
  </si>
  <si>
    <t>Continental Barum- HR</t>
  </si>
  <si>
    <t>19:05</t>
  </si>
  <si>
    <t>19:11</t>
  </si>
  <si>
    <t>1:53:09</t>
  </si>
  <si>
    <t>27:42</t>
  </si>
  <si>
    <t>5:22</t>
  </si>
  <si>
    <t>město Otrokovice</t>
  </si>
  <si>
    <t>16:11</t>
  </si>
  <si>
    <t>17:54</t>
  </si>
  <si>
    <t>18:02</t>
  </si>
  <si>
    <t>1:54:41</t>
  </si>
  <si>
    <t>29:14</t>
  </si>
  <si>
    <t>5:27</t>
  </si>
  <si>
    <t>11.0</t>
  </si>
  <si>
    <t>17:36</t>
  </si>
  <si>
    <t>17:16</t>
  </si>
  <si>
    <t>16:20</t>
  </si>
  <si>
    <t>16:07</t>
  </si>
  <si>
    <t>16:27</t>
  </si>
  <si>
    <t>15:09</t>
  </si>
  <si>
    <t>1:54:54</t>
  </si>
  <si>
    <t>29:27</t>
  </si>
  <si>
    <t>Continental Barum- CVT</t>
  </si>
  <si>
    <t>16:09</t>
  </si>
  <si>
    <t>18:33</t>
  </si>
  <si>
    <t>16:57</t>
  </si>
  <si>
    <t>19:14</t>
  </si>
  <si>
    <t>1:56:45</t>
  </si>
  <si>
    <t>31:18</t>
  </si>
  <si>
    <t>5:33</t>
  </si>
  <si>
    <t>10.8</t>
  </si>
  <si>
    <t>Sazovský ogarek a cerka</t>
  </si>
  <si>
    <t>18:12</t>
  </si>
  <si>
    <t>15:54</t>
  </si>
  <si>
    <t>1:57:00</t>
  </si>
  <si>
    <t>31:33</t>
  </si>
  <si>
    <t>Otrokovické šelmy z Tlumačova</t>
  </si>
  <si>
    <t>17:46</t>
  </si>
  <si>
    <t>15:33</t>
  </si>
  <si>
    <t>17:38</t>
  </si>
  <si>
    <t>19:19</t>
  </si>
  <si>
    <t>1:57:31</t>
  </si>
  <si>
    <t>32:04</t>
  </si>
  <si>
    <t>5:35</t>
  </si>
  <si>
    <t>18:11</t>
  </si>
  <si>
    <t>19:33</t>
  </si>
  <si>
    <t>20:43</t>
  </si>
  <si>
    <t>1:59:29</t>
  </si>
  <si>
    <t>34:02</t>
  </si>
  <si>
    <t>5:40</t>
  </si>
  <si>
    <t>10.6</t>
  </si>
  <si>
    <t>16:17</t>
  </si>
  <si>
    <t>19:20</t>
  </si>
  <si>
    <t>19:58</t>
  </si>
  <si>
    <t>15:34</t>
  </si>
  <si>
    <t>2:03:35</t>
  </si>
  <si>
    <t>38:08</t>
  </si>
  <si>
    <t>5:52</t>
  </si>
  <si>
    <t>10.2</t>
  </si>
  <si>
    <t>17:35</t>
  </si>
  <si>
    <t>17:30</t>
  </si>
  <si>
    <t>2:03:51</t>
  </si>
  <si>
    <t>38:24</t>
  </si>
  <si>
    <t>#NaDyzajn</t>
  </si>
  <si>
    <t>18:07</t>
  </si>
  <si>
    <t>19:00</t>
  </si>
  <si>
    <t>20:34</t>
  </si>
  <si>
    <t>2:06:23</t>
  </si>
  <si>
    <t>40:56</t>
  </si>
  <si>
    <t>6:00</t>
  </si>
  <si>
    <t>10.0</t>
  </si>
  <si>
    <t>Utíkej, mámo,utíkej 5</t>
  </si>
  <si>
    <t>18:10</t>
  </si>
  <si>
    <t>18:50</t>
  </si>
  <si>
    <t>19:29</t>
  </si>
  <si>
    <t>17:41</t>
  </si>
  <si>
    <t>18:45</t>
  </si>
  <si>
    <t>16:44</t>
  </si>
  <si>
    <t>2:06:52</t>
  </si>
  <si>
    <t>41:25</t>
  </si>
  <si>
    <t>6:01</t>
  </si>
  <si>
    <t>23:05</t>
  </si>
  <si>
    <t>18:28</t>
  </si>
  <si>
    <t>18:21</t>
  </si>
  <si>
    <t>2:07:11</t>
  </si>
  <si>
    <t>41:44</t>
  </si>
  <si>
    <t>6:02</t>
  </si>
  <si>
    <t>Utíkej, mámo, utíkej 7</t>
  </si>
  <si>
    <t>21:16</t>
  </si>
  <si>
    <t>17:20</t>
  </si>
  <si>
    <t>18:56</t>
  </si>
  <si>
    <t>2:07:47</t>
  </si>
  <si>
    <t>42:20</t>
  </si>
  <si>
    <t>6:04</t>
  </si>
  <si>
    <t>9.9</t>
  </si>
  <si>
    <t>Continental Barum- ContiSlowRun</t>
  </si>
  <si>
    <t>19:02</t>
  </si>
  <si>
    <t>20:53</t>
  </si>
  <si>
    <t>21:48</t>
  </si>
  <si>
    <t>2:13:27</t>
  </si>
  <si>
    <t>48:00</t>
  </si>
  <si>
    <t>6:20</t>
  </si>
  <si>
    <t>9.5</t>
  </si>
  <si>
    <t>Utíkej, mámo, utíkej 2</t>
  </si>
  <si>
    <t>18:39</t>
  </si>
  <si>
    <t>18:49</t>
  </si>
  <si>
    <t>19:59</t>
  </si>
  <si>
    <t>19:51</t>
  </si>
  <si>
    <t>23:00</t>
  </si>
  <si>
    <t>19:39</t>
  </si>
  <si>
    <t>2:17:38</t>
  </si>
  <si>
    <t>52:11</t>
  </si>
  <si>
    <t>6:32</t>
  </si>
  <si>
    <t>9.2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</si>
  <si>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.</t>
  </si>
  <si>
    <t xml:space="preserve">Jiří Olšaník                                     Zikmund Balla Zikmund </t>
  </si>
  <si>
    <t>Marcel Nemček                              Marian Uherka Marian Horková Aneta Kuršová Zuzana Černoch Jaroslav Kubičík David Urban Jiří</t>
  </si>
  <si>
    <t>Martin Kruchňáček                      Viktor Solanský Viktor Nagy Martin Balloš Jiří Buňka Daniel Uhrinovský Lukáš Volek Lukáš</t>
  </si>
  <si>
    <t>Marcel Kalík                             Aleš Horák Aleš Marholt Petr Horák Aleš Drulák Petr Vaculík Radim Marholt Petr</t>
  </si>
  <si>
    <t>Stanislav Nebojsa                            Daniel Soukup Daniel Přehnal Jan Kroupa Michal Šmědek Jaroslav Budík Lukáš Szczepanek Dominik</t>
  </si>
  <si>
    <t xml:space="preserve">Jiří Vylímec                                   Robert Pšenčík Robert Pípa Petr Trdlica Ondřej </t>
  </si>
  <si>
    <t>David Kotásek                                        Petr Skalník Petr Hájek Filip Remeš Stanislav Štěbrová Tereza Pallová Gabriela Svoboda Jan</t>
  </si>
  <si>
    <t>Anna Pavlíčková                                 Vendula Kyselá Vendula Zalubil Jiří Krušina Filip Pavlačka David Pjajčík Michal Pojezný Jan</t>
  </si>
  <si>
    <t xml:space="preserve">Martin Michálek                                      Nela Šimková Nela Grézl Lukáš </t>
  </si>
  <si>
    <t>Václav Laščák                                        Jan Dovrtěl Jan Laščák Václav Slobodian Rostislav Dovrtěl Jan Slobodian Rostislav Dovrtěl Jan</t>
  </si>
  <si>
    <t xml:space="preserve">Zdeněk Gargulák                                   Richard Holý Richard Štěrba Martin Karásková Zuzana </t>
  </si>
  <si>
    <t xml:space="preserve">Tomáš Frňka                              Simona Llanos Simona Krkoška Jaroslav Ferbas Eduard Láník Tomáš Kala Jiří </t>
  </si>
  <si>
    <t>Tomáš Müller                                  Michaela Holubová Michaela Netuka Jan Scerbyckyj Jaroslav Kumbárová Anna Chudějová Markéta Panovec Kryštof</t>
  </si>
  <si>
    <t xml:space="preserve">Jaroslav Valenta                       Michal Friedrich Michal Minarčík Tomáš Vacl Zbyněk Jurtík Radovan Tichava Jan </t>
  </si>
  <si>
    <t>Jméno Příjmení                    Jméno2 Příjmení2 Jméno2 Příjmení3 Jméno3 Příjmení4 Jméno4 Příjmení5 Jméno5 Příjmení6 Jméno6 Příjmení7 Jméno7</t>
  </si>
  <si>
    <t>4:36,29</t>
  </si>
  <si>
    <t>4:14,83</t>
  </si>
  <si>
    <t>5:08,26</t>
  </si>
  <si>
    <t>4:41,38</t>
  </si>
  <si>
    <t>4:33,75</t>
  </si>
  <si>
    <t>4:33,08</t>
  </si>
  <si>
    <t>4:10,19</t>
  </si>
  <si>
    <t>4:46,69</t>
  </si>
  <si>
    <t>4:35,44</t>
  </si>
  <si>
    <t>3:55,59</t>
  </si>
  <si>
    <t>4:27,11</t>
  </si>
  <si>
    <t>4:47,02</t>
  </si>
  <si>
    <t>4:39,06</t>
  </si>
  <si>
    <t>4:13,18</t>
  </si>
  <si>
    <t>4:21,47</t>
  </si>
  <si>
    <t>4:54,32</t>
  </si>
  <si>
    <t>4:28,23</t>
  </si>
  <si>
    <t>4:12,51</t>
  </si>
  <si>
    <t>4:15,50</t>
  </si>
  <si>
    <t>4:37,07</t>
  </si>
  <si>
    <t>5:10,91</t>
  </si>
  <si>
    <t>4:20,81</t>
  </si>
  <si>
    <t>4:31,09</t>
  </si>
  <si>
    <t>5:06,27</t>
  </si>
  <si>
    <t>Jiří Ingr                         Jan Lupač Jan Ingr Jiří Lupač Jan Krajčová Kristýna Bartůnková Kristýna Súkup Matýáš</t>
  </si>
  <si>
    <t xml:space="preserve">Tomáš Vařák                           Petr Oharek Petr Trtek Martin </t>
  </si>
  <si>
    <t xml:space="preserve">Petra Žáková                         Martin Žák Martin </t>
  </si>
  <si>
    <t>Tadeáš Penner                             Jan Tulach Jan Mikulcová Renata Rybenský Ondra Maršálek matěj Kříž Michal Penner Tadeáš</t>
  </si>
  <si>
    <t>Josef Pospíšil                           Radek Heger Radek Krahulcová Hanka Pospíšil David Golhová Monika Pazourek Martin Pospíšil jr. Josef</t>
  </si>
  <si>
    <t>Antonín Měrka                           Dorota Doleželová Dorota Smolinka Ondřej Starová Nicol Zpěvák Kryštof Skopalíková Lucie Kočař Robert</t>
  </si>
  <si>
    <t xml:space="preserve">Stanislav Kél                          Jiří Vylímec Jiří </t>
  </si>
  <si>
    <t xml:space="preserve">Monika Slováčková                              Aneta Slováčková Aneta Slováček Jiří Maňas Petr Fussová Markéta </t>
  </si>
  <si>
    <t>Jonáš Podmolík                         Štěpán Zvoníček Štěpán Podmolík Tomáš Podmolíková Dagmara Marušák Martin Zvoníček Martin Zvoníčková Doubravka</t>
  </si>
  <si>
    <t>Dalibor Bis                           Viktor Bis Viktor Bisová Zuzana Bis Dalibor Bisová Nikola Bisová Zuzana Bis Dalibor</t>
  </si>
  <si>
    <t>Jiří Pompa                           Adam Dobeš Adam Jurčík Zdeněk Pompová Alena Horák Pavel Pompová Ludmila Horák Pavel</t>
  </si>
  <si>
    <t>Zdeněk Liška                        Martin Vaňko Martin Vrlová Iveta Klusáček Lukáš Klačánek Rudolf Kývala Pavel Foltýnová Lucie</t>
  </si>
  <si>
    <t>Ladislav Velič                            Michael Štefka Michael Svoboda Ivan Černošek Jan Pavlíček Jan Večeřa Martin Láznička Libor</t>
  </si>
  <si>
    <t xml:space="preserve">Jiří Mana                         Petr Kovalčík Petr </t>
  </si>
  <si>
    <t xml:space="preserve">Lukáš Šilc                           Karel Štefl Karel </t>
  </si>
  <si>
    <t>Lenka Hájková                              Eliška Polášková Eliška Staněk Martin Ševčík Jan Ševčíková Iva Polášek Václav Zentrichová Daniela</t>
  </si>
  <si>
    <t>Petr Vojtášek                             Šárka Pajerová Šárka Nejšl Vít Nejšlová Renata Vojtášková Markéta Šabat Štěpán Nejšl Vít</t>
  </si>
  <si>
    <t>Petr Pavlíče                        k Petr Macho Petr Horák (c) Vladimír Růžičková Petra Samohýlová Kateřina Pavlíčková Vendula Zpěvák Alan</t>
  </si>
  <si>
    <t xml:space="preserve">Jitka Kvapilová                             Petr Sedláček Petr </t>
  </si>
  <si>
    <t xml:space="preserve">Lukáš Petřík                             Jaroslava Sadková Jaroslava Bartošová Aneta Zapletalová Blanka Fojtík Jan Kubešová Zlata </t>
  </si>
  <si>
    <t>Marek Houser                       Martin Krkoška Martin Mejsnarová Anna Macák Jakub Hosťovecká Simona Janků Radek Baďura Tomáš</t>
  </si>
  <si>
    <t xml:space="preserve">Petr Pánek                           Jan Vraj Jan </t>
  </si>
  <si>
    <t>Jiří Hubík                             Lenka Pinkasová Lenka Šugra Marek Klímová Barbora Mizerová Marie Smetanová Eva Čablová Jana</t>
  </si>
  <si>
    <t xml:space="preserve">Radomir Bursa                     Kryštof Bursa Kryštof Bursová Iveta </t>
  </si>
  <si>
    <t>Vítězslav Remeš                          Dominika Remešová Dominika Zapletalová Vendula Havlíková Kristina Janečková Pavla Nádeníčková Natálie Havlíková Kristina</t>
  </si>
  <si>
    <t>Martin Družbík                               Libor Novák Libor Mišo Oto Skovajsa Michal Flekač Jiří Brzica Lukáš Soukupová Lucie</t>
  </si>
  <si>
    <t>Radek Smolinka                       Jří Smolinka Jří Knoll Vojtěch Knoll Jakub Knoll Radomír Dominec František Domincová Iveta</t>
  </si>
  <si>
    <t>Milan Pozlovský                                Pavlína Martinková Pavlína Zedek Richard Zedek Richard Sojková Alena Bravená Magda Kozánek Petr</t>
  </si>
  <si>
    <t>Erika Machova                      Daniel Paseka Daniel Paseka Martin Machova Erika Paseka Daniel Paseka Martin Machova Erika</t>
  </si>
  <si>
    <t xml:space="preserve">Veronika Široká                       Jan Široký Jan </t>
  </si>
  <si>
    <t xml:space="preserve">Petr Řezníček                          Lenka Kohoutková Lenka </t>
  </si>
  <si>
    <t xml:space="preserve">Renata Zezulková                              Markéta Horková Markéta Poláková Zuzana Zezulková Michaela Mičáková Kateřina Žalčík Štěpán </t>
  </si>
  <si>
    <t>Lenka Kunzová                            Jan Pinkas Jan Máselník Petr Bartoníková Lenka Skohoutil Marek Raichlová Pavla Bílek Lukáš</t>
  </si>
  <si>
    <t xml:space="preserve">Miloslav Hejda                     MILOSLAV HEJDA MILOSLAV SEDLÁŘ LADISLAV SEDLÁŘOVÁ ALENA SEDLÁŘOVÁ ZUZANA HEJDOVÁ MARCELA </t>
  </si>
  <si>
    <t>Lenka Jašková                       Lenka Jašková Lenka Baťa Igor Baťa Igor Jašková Lenka Jašková Lenka Baťa Igor</t>
  </si>
  <si>
    <t>Michal Procházka                        Jan Koňařík Jan Zálešák Ondřej Borovská Simona Volf Vlastimil Zálešáková Martina Šimoník Ladislav</t>
  </si>
  <si>
    <t>Marcel Nemček               Libor Svobodník Libor Štěpánková Lenka Maňásek Martin Dvorská Jana Veselý Jiří Staňková Renata</t>
  </si>
  <si>
    <t xml:space="preserve">Monika Daňková                          Jitka Gregušová Jitka Daněk Simon Petříková Jarmila </t>
  </si>
  <si>
    <t xml:space="preserve">Radek Světinský                      Vítězslav Bittner Vítězslav Zaoral Tomáš Matoušek Tomáš Vala Petr </t>
  </si>
  <si>
    <t xml:space="preserve">Monika Ondíková                       Monika Ondíková Monika Vajdíková Michaela Vajdíková Michaela Velísek Radim Velísek Radim Valo </t>
  </si>
  <si>
    <t>Dáša Rulfová                         Krisýna Kvasničková Krisýna Valoušková Libuše Valoušková Libuše Jugasová Klára Chromčáková Jitka Chromčáková Jitka</t>
  </si>
  <si>
    <t xml:space="preserve">Vladimír Gregor                   Dagmar Gregorová Dagmar </t>
  </si>
  <si>
    <t>Martin Kočař                   Jiří Sukup Jiří Rulfová Kateřina Sukup Jiří Zavadilová Erika Hoferková Sabina Vlachynský Michal</t>
  </si>
  <si>
    <t xml:space="preserve">Pavel Takáč                       Zuzana Večerková Zuzana </t>
  </si>
  <si>
    <t xml:space="preserve">Svatava Kašíková                           Kristýna Skálová Kristýna Šíblová Miroslava Válková Martina Paličkova Michaela </t>
  </si>
  <si>
    <t>Zdena Opršalová                     Ilona Gregorová Ilona Randusová Olga Zatloukalová Helena Hnaníčková Martina Hoferková Jitka Hlobilová Hana</t>
  </si>
  <si>
    <t>Hana Šnajdrová                             Renáta Vrzalová Renáta Marušáková Veronika Žůrková Eva Bětíková Kateřina Čaňová Dana Janotová Tereza</t>
  </si>
  <si>
    <t xml:space="preserve">Tereza Šumíčková                         Regina Feiferlíková Regina Hastík Martin </t>
  </si>
  <si>
    <t xml:space="preserve">Lucie Víková                      Štěpánka Krátká Štěpánka </t>
  </si>
  <si>
    <t>63let</t>
  </si>
  <si>
    <t>SSC OTROKOVICE -- B</t>
  </si>
  <si>
    <t>SSC OTROKOVICE -- A</t>
  </si>
  <si>
    <t>5:50,07</t>
  </si>
  <si>
    <t>6:03,01</t>
  </si>
  <si>
    <t>6:02,34</t>
  </si>
  <si>
    <t>5:43,43</t>
  </si>
  <si>
    <t>5:48,41</t>
  </si>
  <si>
    <t>5:55,04</t>
  </si>
  <si>
    <t>5:44,43</t>
  </si>
  <si>
    <t>5:52,36</t>
  </si>
  <si>
    <t>39,5let</t>
  </si>
  <si>
    <t>1500m          400m</t>
  </si>
  <si>
    <t>6:54,93          89,26</t>
  </si>
  <si>
    <t>60m</t>
  </si>
  <si>
    <t>10,23</t>
  </si>
  <si>
    <t>3013,715m</t>
  </si>
  <si>
    <t>42let*</t>
  </si>
  <si>
    <t xml:space="preserve">2 666 bodů  </t>
  </si>
  <si>
    <t xml:space="preserve">A. Horková  </t>
  </si>
  <si>
    <t xml:space="preserve">J. Černoch  </t>
  </si>
  <si>
    <t xml:space="preserve">Z. Kuršová  </t>
  </si>
  <si>
    <t>18let</t>
  </si>
  <si>
    <t>45let</t>
  </si>
  <si>
    <t>62let</t>
  </si>
  <si>
    <t xml:space="preserve">všichni až na J.Černocha si oproti roku 2015 pohoršili  </t>
  </si>
  <si>
    <t>43let*</t>
  </si>
  <si>
    <t>běh 3797,5 + 5x3460m</t>
  </si>
  <si>
    <t>3797,5</t>
  </si>
  <si>
    <t>17:22</t>
  </si>
  <si>
    <t>Z.Balla</t>
  </si>
  <si>
    <t>T.Štěbrová</t>
  </si>
  <si>
    <t>2017* ---3797,5 + 5x3460m</t>
  </si>
  <si>
    <t>mem. Josefa Podmolíka  v půlmaratonu  2017</t>
  </si>
  <si>
    <t>4:53,07</t>
  </si>
  <si>
    <t>1:43:03</t>
  </si>
  <si>
    <t>18:09</t>
  </si>
  <si>
    <t>5:14,74</t>
  </si>
  <si>
    <t>5:01,16</t>
  </si>
  <si>
    <t>4:14,34</t>
  </si>
  <si>
    <t>4:44,68</t>
  </si>
  <si>
    <t>5:01,51</t>
  </si>
  <si>
    <t>16:14</t>
  </si>
  <si>
    <t>4:16,48</t>
  </si>
  <si>
    <t>3:54,26</t>
  </si>
  <si>
    <t>1.</t>
  </si>
  <si>
    <t>Columbus Napajedla</t>
  </si>
  <si>
    <t>2.</t>
  </si>
  <si>
    <t>TJ JISKRA Otrokovice veslování</t>
  </si>
  <si>
    <t>3.</t>
  </si>
  <si>
    <t>4.</t>
  </si>
  <si>
    <t>A - Kvasnice</t>
  </si>
  <si>
    <t>5.</t>
  </si>
  <si>
    <t>6.</t>
  </si>
  <si>
    <t>Continental Barum- FÚ</t>
  </si>
  <si>
    <t>7.</t>
  </si>
  <si>
    <t>Nádeničkovic+Maťa</t>
  </si>
  <si>
    <t>8.</t>
  </si>
  <si>
    <t>KPP Zlín</t>
  </si>
  <si>
    <t>9.</t>
  </si>
  <si>
    <t>EFTEC - BLUE TEAM</t>
  </si>
  <si>
    <t>10.</t>
  </si>
  <si>
    <t>Podmolík</t>
  </si>
  <si>
    <t>11.</t>
  </si>
  <si>
    <t>Biatlon Halenkovice</t>
  </si>
  <si>
    <t>12.</t>
  </si>
  <si>
    <t>Repre MDZ</t>
  </si>
  <si>
    <t>13.</t>
  </si>
  <si>
    <t>14.</t>
  </si>
  <si>
    <t>VÚK</t>
  </si>
  <si>
    <t>15.</t>
  </si>
  <si>
    <t>Continental Barum- Free Run</t>
  </si>
  <si>
    <t>16.</t>
  </si>
  <si>
    <t>17.</t>
  </si>
  <si>
    <t>Srdcaři</t>
  </si>
  <si>
    <t>18.</t>
  </si>
  <si>
    <t>19.</t>
  </si>
  <si>
    <t>HaSaM s.r.o.</t>
  </si>
  <si>
    <t>20.</t>
  </si>
  <si>
    <t>Všetuláci 1</t>
  </si>
  <si>
    <t>21.</t>
  </si>
  <si>
    <t>22.</t>
  </si>
  <si>
    <t>PROakce</t>
  </si>
  <si>
    <t>23.</t>
  </si>
  <si>
    <t>24.</t>
  </si>
  <si>
    <t>25.</t>
  </si>
  <si>
    <t>Kadl</t>
  </si>
  <si>
    <t>26.</t>
  </si>
  <si>
    <t>27.</t>
  </si>
  <si>
    <t>28.</t>
  </si>
  <si>
    <t>Kantoři z Mánesky</t>
  </si>
  <si>
    <t>29.</t>
  </si>
  <si>
    <t>30.</t>
  </si>
  <si>
    <t>31.</t>
  </si>
  <si>
    <t>32.</t>
  </si>
  <si>
    <t>33.</t>
  </si>
  <si>
    <t>34.</t>
  </si>
  <si>
    <t>35.</t>
  </si>
  <si>
    <t>Naděje</t>
  </si>
  <si>
    <t>36.</t>
  </si>
  <si>
    <t>37.</t>
  </si>
  <si>
    <t>Tlumačovské šelmy</t>
  </si>
  <si>
    <t>38.</t>
  </si>
  <si>
    <t>39.</t>
  </si>
  <si>
    <t>TTC Olomouc</t>
  </si>
  <si>
    <t>40.</t>
  </si>
  <si>
    <t>Všetuláci 2</t>
  </si>
  <si>
    <t>41.</t>
  </si>
  <si>
    <t>EFTEC - RED TEAM</t>
  </si>
  <si>
    <t>42.</t>
  </si>
  <si>
    <t>Pipe 1</t>
  </si>
  <si>
    <t>43.</t>
  </si>
  <si>
    <t>Utíkej, mámo, utíkej</t>
  </si>
  <si>
    <t>44.</t>
  </si>
  <si>
    <t>45.</t>
  </si>
  <si>
    <t>46.</t>
  </si>
  <si>
    <t>Pipe 2</t>
  </si>
  <si>
    <t>stráta</t>
  </si>
  <si>
    <t>běh 2991,0 + 6x3017,5m</t>
  </si>
  <si>
    <t>2991</t>
  </si>
  <si>
    <t>19let</t>
  </si>
  <si>
    <t>2018* ---2991 + 6x3017,5m</t>
  </si>
  <si>
    <t>31,8let</t>
  </si>
  <si>
    <t>12,9km/hod</t>
  </si>
  <si>
    <t>16:13</t>
  </si>
  <si>
    <t>4:38,94</t>
  </si>
  <si>
    <t>4:28,47</t>
  </si>
  <si>
    <t>5:01,57</t>
  </si>
  <si>
    <t>4:20,15</t>
  </si>
  <si>
    <t>4:15,51</t>
  </si>
  <si>
    <t>4:28,77</t>
  </si>
  <si>
    <t>4:35,72</t>
  </si>
  <si>
    <t>5:22,45</t>
  </si>
  <si>
    <t>"BRNO"</t>
  </si>
  <si>
    <t>BP#99</t>
  </si>
  <si>
    <t>Podmolíkovi</t>
  </si>
  <si>
    <t>Zapaření Vlci Kladno</t>
  </si>
  <si>
    <t>Continental Barum- MH</t>
  </si>
  <si>
    <t>Continental Barum- QUALITA</t>
  </si>
  <si>
    <t>ASPOT Hulín</t>
  </si>
  <si>
    <t>KADL team</t>
  </si>
  <si>
    <t>PIPELIFE</t>
  </si>
  <si>
    <t>Force KCK Zlín</t>
  </si>
  <si>
    <t>DDM Sluníčko Otrokovice</t>
  </si>
  <si>
    <t>LIGA forever</t>
  </si>
  <si>
    <t>NA POHODU</t>
  </si>
  <si>
    <t>Continental Barum- HR Divize</t>
  </si>
  <si>
    <t>BIKE TEAM SAZOVICE</t>
  </si>
  <si>
    <t>Floriánci</t>
  </si>
  <si>
    <t>mem. Josefa Podmolíka  v půlmaratonu  2018</t>
  </si>
  <si>
    <t>40,6let</t>
  </si>
  <si>
    <t>1:45,57</t>
  </si>
  <si>
    <t>5:00,23</t>
  </si>
  <si>
    <t>Marcel Nemček</t>
  </si>
  <si>
    <t>půlmaraton</t>
  </si>
  <si>
    <t>Otrokovice 3.11.2018</t>
  </si>
  <si>
    <t>IV.</t>
  </si>
  <si>
    <t>V.</t>
  </si>
  <si>
    <t>VI.</t>
  </si>
  <si>
    <t>VII.</t>
  </si>
  <si>
    <t>14:20          14:50</t>
  </si>
  <si>
    <t>14:58</t>
  </si>
  <si>
    <t>1:45:57</t>
  </si>
  <si>
    <t>21098m</t>
  </si>
  <si>
    <t xml:space="preserve">I.  </t>
  </si>
  <si>
    <t>II.              III.</t>
  </si>
  <si>
    <t>74místo</t>
  </si>
  <si>
    <t xml:space="preserve"> ( 45let )  SSC Otrokovice</t>
  </si>
  <si>
    <t xml:space="preserve"> ( 44let )  SSC Otrokovice</t>
  </si>
  <si>
    <t>mem. Josefa Podmolíka  v půlmaratonu  2019</t>
  </si>
  <si>
    <t>45let*</t>
  </si>
  <si>
    <t>64let</t>
  </si>
  <si>
    <t>47let</t>
  </si>
  <si>
    <t>20let</t>
  </si>
  <si>
    <t>3 den</t>
  </si>
  <si>
    <t>4 den</t>
  </si>
  <si>
    <t>2 den</t>
  </si>
  <si>
    <t>1 den</t>
  </si>
  <si>
    <t>15,96km/hod</t>
  </si>
  <si>
    <t>13,42km/hod</t>
  </si>
  <si>
    <t>10,22km/hod</t>
  </si>
  <si>
    <t>13,07km/hod</t>
  </si>
  <si>
    <t>13,03km/hod</t>
  </si>
  <si>
    <t>12,28km/hod</t>
  </si>
  <si>
    <t>12,90km/hod</t>
  </si>
  <si>
    <t>F.Orbes</t>
  </si>
  <si>
    <t>A.Orbesová</t>
  </si>
  <si>
    <t>8let</t>
  </si>
  <si>
    <t>27,8let</t>
  </si>
  <si>
    <t>12:01</t>
  </si>
  <si>
    <t>15:40</t>
  </si>
  <si>
    <t>1:38:50</t>
  </si>
  <si>
    <t>4:25,46</t>
  </si>
  <si>
    <t>4:26,78</t>
  </si>
  <si>
    <t>4:43,35</t>
  </si>
  <si>
    <t>5:26,10</t>
  </si>
  <si>
    <t>3:58,94</t>
  </si>
  <si>
    <t>5:11,52</t>
  </si>
  <si>
    <t>12,81km/hod</t>
  </si>
  <si>
    <t>4:41,08</t>
  </si>
  <si>
    <t>Retro Repre</t>
  </si>
  <si>
    <t>Kanoistika ONV</t>
  </si>
  <si>
    <t>Matonky Ondra a Honza</t>
  </si>
  <si>
    <t>Máneska Best Run</t>
  </si>
  <si>
    <t>postradatelni</t>
  </si>
  <si>
    <t>TSO</t>
  </si>
  <si>
    <t>MarťAni</t>
  </si>
  <si>
    <t>TJ Jiskra Otrokovice - Lyžaři</t>
  </si>
  <si>
    <t>Rubic family</t>
  </si>
  <si>
    <t>Continental Barum- RUN IT SCEE A</t>
  </si>
  <si>
    <t>Podmolíkovi-Podmolíci</t>
  </si>
  <si>
    <t>Continental VUK</t>
  </si>
  <si>
    <t>SSCO team</t>
  </si>
  <si>
    <t>MEMORIÁL MUDR. JOSEFA PODMOLÍKA V PŮLMARATONU</t>
  </si>
  <si>
    <t>https://www.sportt.cz/racesResults/resultlist/895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</si>
  <si>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</si>
  <si>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</si>
  <si>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</si>
  <si>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</si>
  <si>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</si>
  <si>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</si>
  <si>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</si>
  <si>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</si>
  <si>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</si>
  <si>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</si>
  <si>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</si>
  <si>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</si>
  <si>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</si>
  <si>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</si>
  <si>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</si>
  <si>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</si>
  <si>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NapaBaby</t>
  </si>
  <si>
    <t>SKÁJ team</t>
  </si>
  <si>
    <t>Force team</t>
  </si>
  <si>
    <t>FORCE</t>
  </si>
  <si>
    <t>Líní chrti</t>
  </si>
  <si>
    <t>ELJAM run</t>
  </si>
  <si>
    <t>MMV</t>
  </si>
  <si>
    <t>Holky v běhu / KESBUK</t>
  </si>
  <si>
    <t>IGLEMARA</t>
  </si>
  <si>
    <t>Dubnica nad Váhom - úrad</t>
  </si>
  <si>
    <t>A je to...</t>
  </si>
  <si>
    <t>Lopaty</t>
  </si>
  <si>
    <t>Continental Barum- FRESH</t>
  </si>
  <si>
    <t>Školáci</t>
  </si>
  <si>
    <t>MěÚ Otrokovice 1</t>
  </si>
  <si>
    <t>Odběhla jsem si od dětí</t>
  </si>
  <si>
    <t>Šviháci</t>
  </si>
  <si>
    <t>Tělu nesmíš povolit!</t>
  </si>
  <si>
    <t>Máneska Suprice</t>
  </si>
  <si>
    <t>Běžci Přerov</t>
  </si>
  <si>
    <t>Liga forever</t>
  </si>
  <si>
    <t>EMS ELEKTRO</t>
  </si>
  <si>
    <t>Continental Barum- RUN IT SCEE B</t>
  </si>
  <si>
    <t>DC4 TEAM</t>
  </si>
  <si>
    <t>Haleny</t>
  </si>
  <si>
    <t>STG Kroměříž</t>
  </si>
  <si>
    <t>SDH Žeranovice</t>
  </si>
  <si>
    <t>Kolegyně</t>
  </si>
  <si>
    <t>MěÚ Otrokovice 2</t>
  </si>
  <si>
    <t>Mladé, krásné a nadějné</t>
  </si>
  <si>
    <t>SDH Míškovice</t>
  </si>
  <si>
    <t>Volejbal Veselá</t>
  </si>
  <si>
    <t>M&amp;M reality</t>
  </si>
  <si>
    <t>SRTG-OTROKOVICE</t>
  </si>
  <si>
    <t>47let*</t>
  </si>
  <si>
    <t>4:43,02</t>
  </si>
  <si>
    <t xml:space="preserve"> M.Nemček     15.3.1974</t>
  </si>
  <si>
    <t xml:space="preserve">    M.Krul     28.12.1982</t>
  </si>
  <si>
    <t>.</t>
  </si>
  <si>
    <t>O.Wilczynski     14.1.1979</t>
  </si>
  <si>
    <t>22let</t>
  </si>
  <si>
    <t>J.Šťourač     12.5.1973</t>
  </si>
  <si>
    <t>28let</t>
  </si>
  <si>
    <t xml:space="preserve">   J.Urban     5.2.1955</t>
  </si>
  <si>
    <t>E.Cvrkalová     24.12.1975      Šťouračová</t>
  </si>
  <si>
    <t>25let</t>
  </si>
  <si>
    <t xml:space="preserve">  J.Daněk     31.5.1971</t>
  </si>
  <si>
    <t>30let</t>
  </si>
  <si>
    <t>28,0let</t>
  </si>
  <si>
    <t>3:45,32</t>
  </si>
  <si>
    <t>3:25,06</t>
  </si>
  <si>
    <t>3:59,57</t>
  </si>
  <si>
    <t>3:29,38</t>
  </si>
  <si>
    <t>4:00,57</t>
  </si>
  <si>
    <t>3:16,44</t>
  </si>
  <si>
    <t>4:02,23</t>
  </si>
  <si>
    <r>
      <rPr>
        <sz val="8"/>
        <color theme="0"/>
        <rFont val="Calibri"/>
        <family val="2"/>
        <charset val="238"/>
        <scheme val="minor"/>
      </rPr>
      <t>07.10.</t>
    </r>
    <r>
      <rPr>
        <sz val="8"/>
        <color theme="1"/>
        <rFont val="Calibri"/>
        <family val="2"/>
        <charset val="238"/>
        <scheme val="minor"/>
      </rPr>
      <t>2001</t>
    </r>
  </si>
  <si>
    <r>
      <rPr>
        <sz val="8"/>
        <color theme="0"/>
        <rFont val="Calibri"/>
        <family val="2"/>
        <charset val="238"/>
        <scheme val="minor"/>
      </rPr>
      <t>27.03.</t>
    </r>
    <r>
      <rPr>
        <sz val="8"/>
        <color theme="1"/>
        <rFont val="Calibri"/>
        <family val="2"/>
        <charset val="238"/>
        <scheme val="minor"/>
      </rPr>
      <t>2002</t>
    </r>
  </si>
  <si>
    <r>
      <rPr>
        <sz val="8"/>
        <color theme="0"/>
        <rFont val="Calibri"/>
        <family val="2"/>
        <charset val="238"/>
        <scheme val="minor"/>
      </rPr>
      <t>02.04.</t>
    </r>
    <r>
      <rPr>
        <sz val="8"/>
        <color theme="1"/>
        <rFont val="Calibri"/>
        <family val="2"/>
        <charset val="238"/>
        <scheme val="minor"/>
      </rPr>
      <t>2003</t>
    </r>
  </si>
  <si>
    <t>ml.žáčky</t>
  </si>
  <si>
    <t>štafety - běh     1)</t>
  </si>
  <si>
    <t>štafety - běh     2)</t>
  </si>
  <si>
    <t>štafety - běh     3)</t>
  </si>
  <si>
    <t>štafety - běh     4)</t>
  </si>
  <si>
    <t>štafety - běh     5)</t>
  </si>
  <si>
    <t>štafety - běh     6)</t>
  </si>
  <si>
    <t>63.</t>
  </si>
  <si>
    <t>64.</t>
  </si>
  <si>
    <t>2019       SSCO -- 6. ročník</t>
  </si>
  <si>
    <t>13:18</t>
  </si>
  <si>
    <t>4:26,80</t>
  </si>
  <si>
    <t xml:space="preserve">os.rekordy -- F.Orbes, A.Orbesová, J.Černoch </t>
  </si>
  <si>
    <t xml:space="preserve">všichni až na J.Černocha si oproti loňskému roku pohoršili  </t>
  </si>
  <si>
    <t>M.Nemček ??</t>
  </si>
  <si>
    <t>město Otrokovice1/1</t>
  </si>
  <si>
    <t>město Otrokovice x úsek</t>
  </si>
  <si>
    <t>10let</t>
  </si>
  <si>
    <t>66let</t>
  </si>
  <si>
    <t>49let</t>
  </si>
  <si>
    <t>M.Zimák</t>
  </si>
  <si>
    <t>běženo  start kopaná umělá tráva</t>
  </si>
  <si>
    <t>coronavirus</t>
  </si>
  <si>
    <t xml:space="preserve"> SSC OTROKOVICE</t>
  </si>
  <si>
    <t>:</t>
  </si>
  <si>
    <t>39</t>
  </si>
  <si>
    <t>53</t>
  </si>
  <si>
    <t>1</t>
  </si>
  <si>
    <t>06</t>
  </si>
  <si>
    <t>19</t>
  </si>
  <si>
    <t>34</t>
  </si>
  <si>
    <t>11</t>
  </si>
  <si>
    <t>rekord 2015</t>
  </si>
  <si>
    <t>12 minut</t>
  </si>
  <si>
    <t>J.Černoch/19</t>
  </si>
  <si>
    <t>A.Orbesová/13</t>
  </si>
  <si>
    <t>1)</t>
  </si>
  <si>
    <t>2)</t>
  </si>
  <si>
    <t>3)</t>
  </si>
  <si>
    <t>4)</t>
  </si>
  <si>
    <t>5)</t>
  </si>
  <si>
    <t>6)</t>
  </si>
  <si>
    <t>7)</t>
  </si>
  <si>
    <t>m</t>
  </si>
  <si>
    <t>SSC OTROKOVICE  štafeta  --  2021</t>
  </si>
  <si>
    <t>M. Zimák/14</t>
  </si>
  <si>
    <t>J. Urban/66</t>
  </si>
  <si>
    <t>2989,5</t>
  </si>
  <si>
    <t>běh 2989,5 + 6x3018,0m</t>
  </si>
  <si>
    <t>L.Šilberská</t>
  </si>
  <si>
    <t>L.Šilberská/10</t>
  </si>
  <si>
    <t>J.Orbes</t>
  </si>
  <si>
    <t>J.Orbes/44</t>
  </si>
  <si>
    <t>3:</t>
  </si>
  <si>
    <t>km</t>
  </si>
  <si>
    <t>1x2989,50m - 6x3018m</t>
  </si>
  <si>
    <t>D.Kubičík/49</t>
  </si>
  <si>
    <t>5:</t>
  </si>
  <si>
    <t>rekord 2021</t>
  </si>
  <si>
    <t>13</t>
  </si>
  <si>
    <t>30,7let</t>
  </si>
  <si>
    <t>1:33:18</t>
  </si>
  <si>
    <t>4:25,34</t>
  </si>
  <si>
    <t>13,57km/hod</t>
  </si>
  <si>
    <t>mem. Josefa Podmolíka  v půlmaratonu  2021</t>
  </si>
  <si>
    <t>štafety - běh     7)</t>
  </si>
  <si>
    <t>2021       SSCO -- 7. ročník</t>
  </si>
  <si>
    <t>33</t>
  </si>
  <si>
    <t xml:space="preserve">   1:33:18,0hod</t>
  </si>
  <si>
    <t>E.Cvrkalová / Šťouračová</t>
  </si>
  <si>
    <t>4:25,93</t>
  </si>
  <si>
    <t>4:22,76</t>
  </si>
  <si>
    <t>4:45,29</t>
  </si>
  <si>
    <t>4:12,82</t>
  </si>
  <si>
    <t>5:17,76</t>
  </si>
  <si>
    <t>4:00,23</t>
  </si>
  <si>
    <t>3:52,60</t>
  </si>
  <si>
    <t xml:space="preserve">os.rekordy -- L.Šilberská, J.Orbes, M.Zimák, J.Černoch </t>
  </si>
  <si>
    <t>4:</t>
  </si>
  <si>
    <t>26</t>
  </si>
  <si>
    <t>40</t>
  </si>
  <si>
    <t>09</t>
  </si>
  <si>
    <t>21</t>
  </si>
  <si>
    <t>4:46,29</t>
  </si>
  <si>
    <t>4:30,48</t>
  </si>
  <si>
    <t>cor.vir.</t>
  </si>
  <si>
    <t>x</t>
  </si>
  <si>
    <t>7x</t>
  </si>
  <si>
    <t>7+2x</t>
  </si>
  <si>
    <t>xx</t>
  </si>
  <si>
    <t>6x</t>
  </si>
  <si>
    <t xml:space="preserve">ročníky </t>
  </si>
  <si>
    <t>starty</t>
  </si>
  <si>
    <t>7</t>
  </si>
  <si>
    <t>3</t>
  </si>
  <si>
    <t>2</t>
  </si>
  <si>
    <t>4</t>
  </si>
  <si>
    <t>6</t>
  </si>
  <si>
    <t>5</t>
  </si>
  <si>
    <t>8</t>
  </si>
  <si>
    <t xml:space="preserve">    jméno</t>
  </si>
  <si>
    <t xml:space="preserve">  Speed Skating Club OTROKOVICE  --  štafeta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</si>
</sst>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119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color rgb="FF990099"/>
      <name val="Arial"/>
      <family val="2"/>
      <charset val="238"/>
    </font>
    <font>
      <b/>
      <sz val="11"/>
      <color rgb="FF990099"/>
      <name val="Calibri"/>
      <family val="2"/>
      <charset val="238"/>
      <scheme val="minor"/>
    </font>
    <font>
      <b/>
      <sz val="10"/>
      <color rgb="FF002060"/>
      <name val="Arial"/>
      <family val="2"/>
      <charset val="238"/>
    </font>
    <font>
      <sz val="11"/>
      <color rgb="FF002060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8"/>
      <color theme="1"/>
      <name val="Arial"/>
      <family val="2"/>
      <charset val="238"/>
    </font>
    <font>
      <b/>
      <sz val="18"/>
      <color theme="1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b/>
      <sz val="8"/>
      <color rgb="FF666699"/>
      <name val="Arial"/>
      <family val="2"/>
      <charset val="238"/>
    </font>
    <font>
      <b/>
      <sz val="8"/>
      <name val="Arial"/>
      <family val="2"/>
      <charset val="238"/>
    </font>
    <font>
      <b/>
      <sz val="9"/>
      <color rgb="FF990099"/>
      <name val="Arial"/>
      <family val="2"/>
      <charset val="238"/>
    </font>
    <font>
      <b/>
      <sz val="9"/>
      <name val="Arial"/>
      <family val="2"/>
      <charset val="238"/>
    </font>
    <font>
      <b/>
      <sz val="9"/>
      <color theme="1"/>
      <name val="Arial"/>
      <family val="2"/>
      <charset val="238"/>
    </font>
    <font>
      <sz val="8"/>
      <color rgb="FFFF0000"/>
      <name val="Calibri"/>
      <family val="2"/>
      <charset val="238"/>
      <scheme val="minor"/>
    </font>
    <font>
      <sz val="9"/>
      <color theme="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8"/>
      <color theme="0"/>
      <name val="Calibri"/>
      <family val="2"/>
      <charset val="238"/>
      <scheme val="minor"/>
    </font>
    <font>
      <b/>
      <sz val="8"/>
      <color rgb="FFFF0000"/>
      <name val="Calibri"/>
      <family val="2"/>
      <charset val="238"/>
      <scheme val="minor"/>
    </font>
    <font>
      <sz val="8"/>
      <color theme="0" tint="-0.14999847407452621"/>
      <name val="Calibri"/>
      <family val="2"/>
      <charset val="238"/>
      <scheme val="minor"/>
    </font>
    <font>
      <sz val="11"/>
      <color theme="0" tint="-0.249977111117893"/>
      <name val="Calibri"/>
      <family val="2"/>
      <charset val="238"/>
      <scheme val="minor"/>
    </font>
    <font>
      <sz val="8"/>
      <color theme="0" tint="-0.249977111117893"/>
      <name val="Calibri"/>
      <family val="2"/>
      <charset val="238"/>
      <scheme val="minor"/>
    </font>
    <font>
      <sz val="10"/>
      <color rgb="FF000000"/>
      <name val="Trebuchet MS"/>
      <family val="2"/>
      <charset val="238"/>
    </font>
    <font>
      <sz val="10"/>
      <color rgb="FFFF0000"/>
      <name val="Trebuchet MS"/>
      <family val="2"/>
      <charset val="238"/>
    </font>
    <font>
      <sz val="10"/>
      <name val="Trebuchet MS"/>
      <family val="2"/>
      <charset val="238"/>
    </font>
    <font>
      <sz val="1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name val="Trebuchet MS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0"/>
      <color rgb="FFFF0000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sz val="8"/>
      <name val="Arial"/>
      <family val="2"/>
      <charset val="238"/>
    </font>
    <font>
      <sz val="8"/>
      <color rgb="FF000000"/>
      <name val="Arial"/>
      <family val="2"/>
      <charset val="238"/>
    </font>
    <font>
      <sz val="11"/>
      <color rgb="FF0000CC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8"/>
      <color rgb="FF002060"/>
      <name val="Arial"/>
      <family val="2"/>
      <charset val="238"/>
    </font>
    <font>
      <b/>
      <sz val="8"/>
      <color rgb="FF002060"/>
      <name val="Arial"/>
      <family val="2"/>
      <charset val="238"/>
    </font>
    <font>
      <sz val="8"/>
      <color rgb="FFFF0000"/>
      <name val="Arial"/>
      <family val="2"/>
      <charset val="238"/>
    </font>
    <font>
      <sz val="9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8"/>
      <color rgb="FF000000"/>
      <name val="Arial"/>
      <family val="2"/>
      <charset val="238"/>
    </font>
    <font>
      <sz val="9"/>
      <color rgb="FF002060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sz val="8"/>
      <color rgb="FFFF0000"/>
      <name val="Arial"/>
      <family val="2"/>
      <charset val="238"/>
    </font>
    <font>
      <b/>
      <sz val="10"/>
      <color rgb="FF0000CC"/>
      <name val="Arial"/>
      <family val="2"/>
      <charset val="238"/>
    </font>
    <font>
      <b/>
      <sz val="8"/>
      <color theme="0"/>
      <name val="Arial"/>
      <family val="2"/>
      <charset val="238"/>
    </font>
    <font>
      <b/>
      <sz val="8"/>
      <color theme="0"/>
      <name val="Calibri"/>
      <family val="2"/>
      <charset val="238"/>
      <scheme val="minor"/>
    </font>
    <font>
      <sz val="8"/>
      <color theme="0" tint="-0.249977111117893"/>
      <name val="Arial"/>
      <family val="2"/>
      <charset val="238"/>
    </font>
    <font>
      <b/>
      <sz val="8"/>
      <color rgb="FF0000CC"/>
      <name val="Arial"/>
      <family val="2"/>
      <charset val="238"/>
    </font>
    <font>
      <b/>
      <sz val="8"/>
      <color theme="1"/>
      <name val="Calibri"/>
      <family val="2"/>
      <charset val="238"/>
      <scheme val="minor"/>
    </font>
    <font>
      <b/>
      <sz val="9"/>
      <color rgb="FFFF0000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b/>
      <u/>
      <sz val="8"/>
      <color theme="1"/>
      <name val="Arial"/>
      <family val="2"/>
      <charset val="238"/>
    </font>
    <font>
      <sz val="8"/>
      <color rgb="FF0000CC"/>
      <name val="Arial"/>
      <family val="2"/>
      <charset val="238"/>
    </font>
    <font>
      <b/>
      <sz val="9"/>
      <color theme="0" tint="-4.9989318521683403E-2"/>
      <name val="Arial"/>
      <family val="2"/>
      <charset val="238"/>
    </font>
    <font>
      <sz val="8"/>
      <color rgb="FF666699"/>
      <name val="Arial"/>
      <family val="2"/>
      <charset val="238"/>
    </font>
    <font>
      <sz val="8"/>
      <color rgb="FF666699"/>
      <name val="Calibri"/>
      <family val="2"/>
      <charset val="238"/>
      <scheme val="minor"/>
    </font>
    <font>
      <sz val="11"/>
      <color rgb="FF000000"/>
      <name val="Arial"/>
      <family val="2"/>
      <charset val="238"/>
    </font>
    <font>
      <b/>
      <sz val="11"/>
      <color rgb="FF002060"/>
      <name val="Arial"/>
      <family val="2"/>
      <charset val="238"/>
    </font>
    <font>
      <b/>
      <sz val="11"/>
      <color rgb="FF002060"/>
      <name val="Calibri"/>
      <family val="2"/>
      <charset val="238"/>
      <scheme val="minor"/>
    </font>
    <font>
      <sz val="8"/>
      <color theme="0"/>
      <name val="Arial"/>
      <family val="2"/>
      <charset val="238"/>
    </font>
    <font>
      <sz val="8"/>
      <color rgb="FF0000CC"/>
      <name val="Calibri"/>
      <family val="2"/>
      <charset val="238"/>
      <scheme val="minor"/>
    </font>
    <font>
      <sz val="8"/>
      <color theme="0" tint="-0.34998626667073579"/>
      <name val="Calibri"/>
      <family val="2"/>
      <charset val="238"/>
      <scheme val="minor"/>
    </font>
    <font>
      <b/>
      <sz val="11"/>
      <color rgb="FF000000"/>
      <name val="Arial"/>
      <family val="2"/>
      <charset val="238"/>
    </font>
    <font>
      <b/>
      <sz val="8"/>
      <name val="Calibri"/>
      <family val="2"/>
      <charset val="238"/>
      <scheme val="minor"/>
    </font>
    <font>
      <b/>
      <sz val="18"/>
      <color theme="0" tint="-0.249977111117893"/>
      <name val="Calibri"/>
      <family val="2"/>
      <charset val="238"/>
      <scheme val="minor"/>
    </font>
    <font>
      <sz val="11"/>
      <color theme="0" tint="-0.14999847407452621"/>
      <name val="Arial"/>
      <family val="2"/>
      <charset val="238"/>
    </font>
    <font>
      <sz val="11"/>
      <color theme="0" tint="-0.14999847407452621"/>
      <name val="Calibri"/>
      <family val="2"/>
      <charset val="238"/>
      <scheme val="minor"/>
    </font>
    <font>
      <b/>
      <sz val="11"/>
      <color theme="0" tint="-0.14999847407452621"/>
      <name val="Arial"/>
      <family val="2"/>
      <charset val="238"/>
    </font>
    <font>
      <b/>
      <sz val="11"/>
      <color theme="0" tint="-0.14999847407452621"/>
      <name val="Calibri"/>
      <family val="2"/>
      <charset val="238"/>
      <scheme val="minor"/>
    </font>
    <font>
      <sz val="9"/>
      <color rgb="FF0000CC"/>
      <name val="Calibri"/>
      <family val="2"/>
      <charset val="238"/>
      <scheme val="minor"/>
    </font>
    <font>
      <b/>
      <sz val="16"/>
      <color theme="8" tint="-0.499984740745262"/>
      <name val="Arial"/>
      <family val="2"/>
      <charset val="238"/>
    </font>
    <font>
      <u/>
      <sz val="11"/>
      <color theme="10"/>
      <name val="Calibri"/>
      <family val="2"/>
      <charset val="238"/>
    </font>
    <font>
      <b/>
      <sz val="16"/>
      <color theme="8" tint="-0.499984740745262"/>
      <name val="Calibri"/>
      <family val="2"/>
      <charset val="238"/>
      <scheme val="minor"/>
    </font>
    <font>
      <sz val="8"/>
      <color theme="0" tint="-0.34998626667073579"/>
      <name val="Arial"/>
      <family val="2"/>
      <charset val="238"/>
    </font>
    <font>
      <b/>
      <sz val="8"/>
      <color theme="0" tint="-0.34998626667073579"/>
      <name val="Arial"/>
      <family val="2"/>
      <charset val="238"/>
    </font>
    <font>
      <b/>
      <sz val="9"/>
      <color rgb="FF666699"/>
      <name val="Arial"/>
      <family val="2"/>
      <charset val="238"/>
    </font>
    <font>
      <sz val="9"/>
      <color rgb="FF0000CC"/>
      <name val="Arial"/>
      <family val="2"/>
      <charset val="238"/>
    </font>
    <font>
      <b/>
      <sz val="10"/>
      <color theme="0"/>
      <name val="Arial"/>
      <family val="2"/>
      <charset val="238"/>
    </font>
    <font>
      <sz val="20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sz val="20"/>
      <name val="Calibri"/>
      <family val="2"/>
      <charset val="238"/>
      <scheme val="minor"/>
    </font>
    <font>
      <b/>
      <sz val="18"/>
      <color rgb="FFCC00CC"/>
      <name val="Calibri"/>
      <family val="2"/>
      <charset val="238"/>
      <scheme val="minor"/>
    </font>
    <font>
      <sz val="14"/>
      <name val="Arial"/>
      <family val="2"/>
      <charset val="238"/>
    </font>
    <font>
      <b/>
      <sz val="18"/>
      <name val="Calibri"/>
      <family val="2"/>
      <charset val="238"/>
      <scheme val="minor"/>
    </font>
    <font>
      <b/>
      <sz val="14"/>
      <name val="Arial"/>
      <family val="2"/>
      <charset val="238"/>
    </font>
    <font>
      <b/>
      <u/>
      <sz val="8"/>
      <name val="Arial"/>
      <family val="2"/>
      <charset val="238"/>
    </font>
    <font>
      <sz val="8"/>
      <color rgb="FF990099"/>
      <name val="Arial"/>
      <family val="2"/>
      <charset val="238"/>
    </font>
    <font>
      <sz val="10"/>
      <color rgb="FF3333FF"/>
      <name val="Arial"/>
      <family val="2"/>
      <charset val="238"/>
    </font>
    <font>
      <sz val="8"/>
      <color rgb="FF3333FF"/>
      <name val="Calibri"/>
      <family val="2"/>
      <charset val="238"/>
      <scheme val="minor"/>
    </font>
    <font>
      <b/>
      <sz val="10"/>
      <color rgb="FF3333FF"/>
      <name val="Arial"/>
      <family val="2"/>
      <charset val="238"/>
    </font>
    <font>
      <sz val="11"/>
      <color rgb="FF3333FF"/>
      <name val="Calibri"/>
      <family val="2"/>
      <charset val="238"/>
      <scheme val="minor"/>
    </font>
    <font>
      <sz val="20"/>
      <color rgb="FF3333FF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20"/>
      <color rgb="FFCC0099"/>
      <name val="Calibri"/>
      <family val="2"/>
      <charset val="238"/>
      <scheme val="minor"/>
    </font>
    <font>
      <b/>
      <sz val="11"/>
      <color rgb="FFCC0099"/>
      <name val="Calibri"/>
      <family val="2"/>
      <charset val="238"/>
      <scheme val="minor"/>
    </font>
    <font>
      <b/>
      <sz val="18"/>
      <color rgb="FFCC0099"/>
      <name val="Calibri"/>
      <family val="2"/>
      <charset val="238"/>
      <scheme val="minor"/>
    </font>
    <font>
      <sz val="11"/>
      <color rgb="FFCC0099"/>
      <name val="Calibri"/>
      <family val="2"/>
      <charset val="238"/>
      <scheme val="minor"/>
    </font>
    <font>
      <sz val="8"/>
      <color theme="0" tint="-0.499984740745262"/>
      <name val="Calibri"/>
      <family val="2"/>
      <charset val="238"/>
      <scheme val="minor"/>
    </font>
    <font>
      <sz val="11"/>
      <color theme="0" tint="-0.499984740745262"/>
      <name val="Calibri"/>
      <family val="2"/>
      <charset val="238"/>
      <scheme val="minor"/>
    </font>
    <font>
      <sz val="20"/>
      <color theme="0" tint="-0.499984740745262"/>
      <name val="Calibri"/>
      <family val="2"/>
      <charset val="238"/>
      <scheme val="minor"/>
    </font>
    <font>
      <b/>
      <sz val="11"/>
      <color theme="0" tint="-0.249977111117893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6"/>
      <color rgb="FF0000CC"/>
      <name val="Arial"/>
      <family val="2"/>
      <charset val="238"/>
    </font>
    <font>
      <b/>
      <sz val="8"/>
      <color rgb="FF3333FF"/>
      <name val="Arial"/>
      <family val="2"/>
      <charset val="238"/>
    </font>
    <font>
      <b/>
      <sz val="12"/>
      <color theme="8" tint="-0.499984740745262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</fonts>
  <fills count="20">
    <fill>
      <patternFill patternType="none"/>
    </fill>
    <fill>
      <patternFill patternType="gray125"/>
    </fill>
    <fill>
      <patternFill patternType="solid">
        <fgColor rgb="FFFFCCFF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E1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EEEEEE"/>
        <bgColor indexed="64"/>
      </patternFill>
    </fill>
    <fill>
      <patternFill patternType="solid">
        <fgColor rgb="FFF0EA00"/>
        <bgColor indexed="64"/>
      </patternFill>
    </fill>
    <fill>
      <patternFill patternType="solid">
        <fgColor rgb="FFFFFF00"/>
        <bgColor indexed="64"/>
      </patternFill>
    </fill>
  </fills>
  <borders count="46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  <border>
      <left style="medium">
        <color rgb="FFBCE8F1"/>
      </left>
      <right style="medium">
        <color rgb="FFDDDDDD"/>
      </right>
      <top style="medium">
        <color rgb="FFBCE8F1"/>
      </top>
      <bottom style="medium">
        <color rgb="FFDDDDDD"/>
      </bottom>
      <diagonal/>
    </border>
    <border>
      <left style="medium">
        <color rgb="FFDDDDDD"/>
      </left>
      <right style="medium">
        <color rgb="FFDDDDDD"/>
      </right>
      <top style="medium">
        <color rgb="FFBCE8F1"/>
      </top>
      <bottom style="medium">
        <color rgb="FFDDDDDD"/>
      </bottom>
      <diagonal/>
    </border>
    <border>
      <left style="medium">
        <color rgb="FFDDDDDD"/>
      </left>
      <right style="medium">
        <color rgb="FFBCE8F1"/>
      </right>
      <top style="medium">
        <color rgb="FFBCE8F1"/>
      </top>
      <bottom style="medium">
        <color rgb="FFDDDDDD"/>
      </bottom>
      <diagonal/>
    </border>
    <border>
      <left style="medium">
        <color rgb="FFBCE8F1"/>
      </left>
      <right style="medium">
        <color rgb="FFDDDDDD"/>
      </right>
      <top style="medium">
        <color rgb="FFDDDDDD"/>
      </top>
      <bottom style="medium">
        <color rgb="FFDDDDDD"/>
      </bottom>
      <diagonal/>
    </border>
    <border>
      <left style="medium">
        <color rgb="FFDDDDDD"/>
      </left>
      <right style="medium">
        <color rgb="FFBCE8F1"/>
      </right>
      <top style="medium">
        <color rgb="FFDDDDDD"/>
      </top>
      <bottom style="medium">
        <color rgb="FFDDDDDD"/>
      </bottom>
      <diagonal/>
    </border>
    <border>
      <left style="medium">
        <color rgb="FFBCE8F1"/>
      </left>
      <right style="medium">
        <color rgb="FFDDDDDD"/>
      </right>
      <top style="medium">
        <color rgb="FFDDDDDD"/>
      </top>
      <bottom style="medium">
        <color rgb="FFBCE8F1"/>
      </bottom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BCE8F1"/>
      </bottom>
      <diagonal/>
    </border>
    <border>
      <left style="medium">
        <color rgb="FFDDDDDD"/>
      </left>
      <right style="medium">
        <color rgb="FFBCE8F1"/>
      </right>
      <top style="medium">
        <color rgb="FFDDDDDD"/>
      </top>
      <bottom style="medium">
        <color rgb="FFBCE8F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78" fillId="0" borderId="0" applyNumberFormat="0" applyFill="0" applyBorder="0" applyAlignment="0" applyProtection="0">
      <alignment vertical="top"/>
      <protection locked="0"/>
    </xf>
  </cellStyleXfs>
  <cellXfs count="805">
    <xf numFmtId="0" fontId="0" fillId="0" borderId="0" xfId="0"/>
    <xf numFmtId="0" fontId="1" fillId="0" borderId="0" xfId="1"/>
    <xf numFmtId="49" fontId="1" fillId="0" borderId="0" xfId="1" applyNumberFormat="1"/>
    <xf numFmtId="0" fontId="1" fillId="0" borderId="0" xfId="1" applyAlignment="1">
      <alignment horizontal="center"/>
    </xf>
    <xf numFmtId="0" fontId="1" fillId="0" borderId="0" xfId="1" applyNumberFormat="1" applyAlignment="1">
      <alignment horizontal="center"/>
    </xf>
    <xf numFmtId="49" fontId="1" fillId="0" borderId="0" xfId="1" applyNumberFormat="1" applyAlignment="1">
      <alignment horizontal="center"/>
    </xf>
    <xf numFmtId="49" fontId="3" fillId="2" borderId="0" xfId="1" applyNumberFormat="1" applyFont="1" applyFill="1"/>
    <xf numFmtId="0" fontId="3" fillId="2" borderId="0" xfId="1" applyFont="1" applyFill="1" applyAlignment="1">
      <alignment horizontal="center"/>
    </xf>
    <xf numFmtId="0" fontId="3" fillId="2" borderId="0" xfId="1" applyNumberFormat="1" applyFont="1" applyFill="1" applyAlignment="1">
      <alignment horizontal="center"/>
    </xf>
    <xf numFmtId="49" fontId="3" fillId="2" borderId="0" xfId="1" applyNumberFormat="1" applyFont="1" applyFill="1" applyAlignment="1">
      <alignment horizontal="center"/>
    </xf>
    <xf numFmtId="0" fontId="4" fillId="2" borderId="0" xfId="0" applyFont="1" applyFill="1"/>
    <xf numFmtId="0" fontId="5" fillId="3" borderId="0" xfId="1" applyFont="1" applyFill="1" applyAlignment="1">
      <alignment horizontal="center"/>
    </xf>
    <xf numFmtId="49" fontId="5" fillId="3" borderId="0" xfId="1" applyNumberFormat="1" applyFont="1" applyFill="1" applyAlignment="1">
      <alignment horizontal="center"/>
    </xf>
    <xf numFmtId="49" fontId="5" fillId="3" borderId="0" xfId="1" applyNumberFormat="1" applyFont="1" applyFill="1"/>
    <xf numFmtId="0" fontId="6" fillId="3" borderId="0" xfId="0" applyFont="1" applyFill="1"/>
    <xf numFmtId="49" fontId="2" fillId="0" borderId="0" xfId="1" applyNumberFormat="1" applyFont="1" applyAlignment="1">
      <alignment horizontal="center"/>
    </xf>
    <xf numFmtId="0" fontId="0" fillId="0" borderId="0" xfId="0" applyAlignment="1">
      <alignment horizontal="center"/>
    </xf>
    <xf numFmtId="49" fontId="8" fillId="0" borderId="0" xfId="1" applyNumberFormat="1" applyFont="1" applyFill="1" applyAlignment="1">
      <alignment horizontal="center"/>
    </xf>
    <xf numFmtId="2" fontId="7" fillId="0" borderId="0" xfId="0" applyNumberFormat="1" applyFont="1" applyAlignment="1">
      <alignment horizontal="center"/>
    </xf>
    <xf numFmtId="49" fontId="8" fillId="0" borderId="0" xfId="0" applyNumberFormat="1" applyFont="1" applyAlignment="1">
      <alignment horizontal="center"/>
    </xf>
    <xf numFmtId="0" fontId="9" fillId="0" borderId="0" xfId="0" applyFont="1"/>
    <xf numFmtId="0" fontId="8" fillId="0" borderId="0" xfId="0" applyFont="1" applyAlignment="1">
      <alignment horizontal="center"/>
    </xf>
    <xf numFmtId="49" fontId="8" fillId="0" borderId="0" xfId="1" applyNumberFormat="1" applyFont="1" applyFill="1" applyBorder="1" applyAlignment="1">
      <alignment horizontal="center"/>
    </xf>
    <xf numFmtId="0" fontId="8" fillId="0" borderId="0" xfId="0" applyFont="1" applyBorder="1" applyAlignment="1">
      <alignment horizontal="center"/>
    </xf>
    <xf numFmtId="49" fontId="8" fillId="0" borderId="0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164" fontId="8" fillId="0" borderId="2" xfId="0" applyNumberFormat="1" applyFont="1" applyBorder="1" applyAlignment="1">
      <alignment horizontal="center"/>
    </xf>
    <xf numFmtId="49" fontId="8" fillId="0" borderId="3" xfId="1" applyNumberFormat="1" applyFont="1" applyFill="1" applyBorder="1" applyAlignment="1">
      <alignment horizontal="center"/>
    </xf>
    <xf numFmtId="49" fontId="8" fillId="0" borderId="4" xfId="0" applyNumberFormat="1" applyFont="1" applyBorder="1" applyAlignment="1">
      <alignment horizontal="center"/>
    </xf>
    <xf numFmtId="49" fontId="8" fillId="0" borderId="2" xfId="1" applyNumberFormat="1" applyFont="1" applyFill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49" fontId="11" fillId="0" borderId="0" xfId="1" applyNumberFormat="1" applyFont="1" applyFill="1" applyAlignment="1">
      <alignment horizontal="center"/>
    </xf>
    <xf numFmtId="49" fontId="11" fillId="0" borderId="0" xfId="1" applyNumberFormat="1" applyFont="1" applyFill="1" applyBorder="1" applyAlignment="1">
      <alignment horizontal="center"/>
    </xf>
    <xf numFmtId="49" fontId="11" fillId="0" borderId="0" xfId="0" applyNumberFormat="1" applyFont="1" applyAlignment="1">
      <alignment horizontal="center"/>
    </xf>
    <xf numFmtId="49" fontId="11" fillId="0" borderId="0" xfId="0" applyNumberFormat="1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0" fillId="0" borderId="0" xfId="0" applyFont="1"/>
    <xf numFmtId="0" fontId="10" fillId="2" borderId="0" xfId="0" applyFont="1" applyFill="1" applyAlignment="1">
      <alignment horizontal="center"/>
    </xf>
    <xf numFmtId="0" fontId="10" fillId="5" borderId="0" xfId="0" applyFont="1" applyFill="1" applyAlignment="1">
      <alignment horizontal="center"/>
    </xf>
    <xf numFmtId="49" fontId="12" fillId="4" borderId="0" xfId="1" applyNumberFormat="1" applyFont="1" applyFill="1" applyAlignment="1">
      <alignment horizontal="center"/>
    </xf>
    <xf numFmtId="49" fontId="12" fillId="4" borderId="0" xfId="0" applyNumberFormat="1" applyFont="1" applyFill="1" applyAlignment="1">
      <alignment horizontal="center"/>
    </xf>
    <xf numFmtId="49" fontId="12" fillId="4" borderId="0" xfId="1" applyNumberFormat="1" applyFont="1" applyFill="1" applyBorder="1" applyAlignment="1">
      <alignment horizontal="center"/>
    </xf>
    <xf numFmtId="49" fontId="12" fillId="4" borderId="0" xfId="0" applyNumberFormat="1" applyFont="1" applyFill="1" applyBorder="1" applyAlignment="1">
      <alignment horizontal="center"/>
    </xf>
    <xf numFmtId="49" fontId="11" fillId="0" borderId="5" xfId="1" applyNumberFormat="1" applyFont="1" applyFill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8" fillId="5" borderId="6" xfId="0" applyFont="1" applyFill="1" applyBorder="1" applyAlignment="1">
      <alignment horizontal="center"/>
    </xf>
    <xf numFmtId="0" fontId="11" fillId="0" borderId="7" xfId="0" applyFont="1" applyBorder="1" applyAlignment="1">
      <alignment horizontal="center"/>
    </xf>
    <xf numFmtId="164" fontId="11" fillId="0" borderId="5" xfId="0" applyNumberFormat="1" applyFont="1" applyBorder="1" applyAlignment="1">
      <alignment horizontal="center"/>
    </xf>
    <xf numFmtId="49" fontId="11" fillId="0" borderId="6" xfId="1" applyNumberFormat="1" applyFont="1" applyFill="1" applyBorder="1" applyAlignment="1">
      <alignment horizontal="center"/>
    </xf>
    <xf numFmtId="49" fontId="11" fillId="0" borderId="7" xfId="0" applyNumberFormat="1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right"/>
    </xf>
    <xf numFmtId="0" fontId="12" fillId="6" borderId="0" xfId="0" applyFont="1" applyFill="1" applyAlignment="1">
      <alignment horizontal="center"/>
    </xf>
    <xf numFmtId="0" fontId="11" fillId="6" borderId="0" xfId="0" applyFont="1" applyFill="1" applyBorder="1" applyAlignment="1">
      <alignment horizontal="center"/>
    </xf>
    <xf numFmtId="0" fontId="12" fillId="6" borderId="0" xfId="0" applyFont="1" applyFill="1" applyBorder="1" applyAlignment="1">
      <alignment horizontal="center"/>
    </xf>
    <xf numFmtId="49" fontId="13" fillId="2" borderId="0" xfId="1" applyNumberFormat="1" applyFont="1" applyFill="1" applyAlignment="1">
      <alignment horizontal="center"/>
    </xf>
    <xf numFmtId="49" fontId="13" fillId="2" borderId="0" xfId="1" applyNumberFormat="1" applyFont="1" applyFill="1" applyBorder="1" applyAlignment="1">
      <alignment horizontal="center"/>
    </xf>
    <xf numFmtId="49" fontId="13" fillId="2" borderId="1" xfId="1" applyNumberFormat="1" applyFont="1" applyFill="1" applyBorder="1" applyAlignment="1">
      <alignment horizontal="center"/>
    </xf>
    <xf numFmtId="49" fontId="13" fillId="2" borderId="3" xfId="1" applyNumberFormat="1" applyFont="1" applyFill="1" applyBorder="1" applyAlignment="1">
      <alignment horizontal="center"/>
    </xf>
    <xf numFmtId="49" fontId="14" fillId="5" borderId="0" xfId="1" applyNumberFormat="1" applyFont="1" applyFill="1" applyAlignment="1">
      <alignment horizontal="center"/>
    </xf>
    <xf numFmtId="49" fontId="14" fillId="5" borderId="0" xfId="1" applyNumberFormat="1" applyFont="1" applyFill="1" applyBorder="1" applyAlignment="1">
      <alignment horizontal="center"/>
    </xf>
    <xf numFmtId="49" fontId="14" fillId="5" borderId="6" xfId="1" applyNumberFormat="1" applyFont="1" applyFill="1" applyBorder="1" applyAlignment="1">
      <alignment horizontal="center"/>
    </xf>
    <xf numFmtId="0" fontId="15" fillId="5" borderId="0" xfId="0" applyFont="1" applyFill="1" applyAlignment="1">
      <alignment horizontal="center"/>
    </xf>
    <xf numFmtId="0" fontId="15" fillId="2" borderId="0" xfId="0" applyFont="1" applyFill="1" applyAlignment="1">
      <alignment horizontal="center"/>
    </xf>
    <xf numFmtId="49" fontId="8" fillId="4" borderId="1" xfId="1" applyNumberFormat="1" applyFont="1" applyFill="1" applyBorder="1" applyAlignment="1">
      <alignment horizontal="center"/>
    </xf>
    <xf numFmtId="49" fontId="8" fillId="4" borderId="1" xfId="0" applyNumberFormat="1" applyFont="1" applyFill="1" applyBorder="1" applyAlignment="1">
      <alignment horizontal="center"/>
    </xf>
    <xf numFmtId="49" fontId="8" fillId="4" borderId="0" xfId="1" applyNumberFormat="1" applyFont="1" applyFill="1" applyAlignment="1">
      <alignment horizontal="center"/>
    </xf>
    <xf numFmtId="49" fontId="8" fillId="4" borderId="0" xfId="0" applyNumberFormat="1" applyFont="1" applyFill="1" applyAlignment="1">
      <alignment horizontal="center"/>
    </xf>
    <xf numFmtId="49" fontId="1" fillId="0" borderId="0" xfId="1" applyNumberFormat="1" applyFill="1" applyAlignment="1">
      <alignment horizontal="center"/>
    </xf>
    <xf numFmtId="0" fontId="17" fillId="0" borderId="0" xfId="0" applyFont="1" applyAlignment="1">
      <alignment horizontal="center"/>
    </xf>
    <xf numFmtId="1" fontId="19" fillId="0" borderId="0" xfId="0" applyNumberFormat="1" applyFont="1" applyAlignment="1">
      <alignment horizontal="center"/>
    </xf>
    <xf numFmtId="0" fontId="19" fillId="0" borderId="0" xfId="0" applyFont="1" applyAlignment="1">
      <alignment horizontal="center"/>
    </xf>
    <xf numFmtId="0" fontId="16" fillId="6" borderId="9" xfId="0" applyFont="1" applyFill="1" applyBorder="1" applyAlignment="1">
      <alignment horizontal="center"/>
    </xf>
    <xf numFmtId="2" fontId="16" fillId="6" borderId="0" xfId="0" applyNumberFormat="1" applyFont="1" applyFill="1" applyAlignment="1">
      <alignment horizontal="center"/>
    </xf>
    <xf numFmtId="2" fontId="18" fillId="6" borderId="8" xfId="0" applyNumberFormat="1" applyFont="1" applyFill="1" applyBorder="1" applyAlignment="1">
      <alignment horizontal="center"/>
    </xf>
    <xf numFmtId="2" fontId="16" fillId="6" borderId="10" xfId="0" applyNumberFormat="1" applyFont="1" applyFill="1" applyBorder="1" applyAlignment="1">
      <alignment horizontal="center"/>
    </xf>
    <xf numFmtId="0" fontId="18" fillId="0" borderId="0" xfId="0" applyFont="1"/>
    <xf numFmtId="20" fontId="21" fillId="0" borderId="0" xfId="0" applyNumberFormat="1" applyFont="1"/>
    <xf numFmtId="0" fontId="21" fillId="0" borderId="0" xfId="0" applyFont="1"/>
    <xf numFmtId="0" fontId="21" fillId="0" borderId="0" xfId="0" applyFont="1" applyAlignment="1">
      <alignment horizontal="center"/>
    </xf>
    <xf numFmtId="165" fontId="21" fillId="0" borderId="0" xfId="0" applyNumberFormat="1" applyFont="1" applyAlignment="1">
      <alignment horizontal="center"/>
    </xf>
    <xf numFmtId="0" fontId="20" fillId="6" borderId="4" xfId="0" applyFont="1" applyFill="1" applyBorder="1" applyAlignment="1">
      <alignment horizontal="center"/>
    </xf>
    <xf numFmtId="0" fontId="22" fillId="0" borderId="0" xfId="0" applyFont="1"/>
    <xf numFmtId="20" fontId="23" fillId="7" borderId="0" xfId="0" applyNumberFormat="1" applyFont="1" applyFill="1" applyAlignment="1">
      <alignment horizontal="center"/>
    </xf>
    <xf numFmtId="0" fontId="23" fillId="0" borderId="0" xfId="0" applyFont="1"/>
    <xf numFmtId="0" fontId="23" fillId="7" borderId="0" xfId="0" applyFont="1" applyFill="1" applyAlignment="1">
      <alignment horizontal="center"/>
    </xf>
    <xf numFmtId="165" fontId="23" fillId="0" borderId="0" xfId="0" applyNumberFormat="1" applyFont="1" applyAlignment="1">
      <alignment horizontal="left"/>
    </xf>
    <xf numFmtId="20" fontId="23" fillId="0" borderId="0" xfId="0" applyNumberFormat="1" applyFont="1"/>
    <xf numFmtId="0" fontId="23" fillId="0" borderId="0" xfId="0" applyFont="1" applyAlignment="1">
      <alignment horizontal="center"/>
    </xf>
    <xf numFmtId="165" fontId="23" fillId="0" borderId="0" xfId="0" applyNumberFormat="1" applyFont="1" applyAlignment="1">
      <alignment horizontal="center"/>
    </xf>
    <xf numFmtId="0" fontId="24" fillId="6" borderId="0" xfId="0" applyFont="1" applyFill="1" applyBorder="1" applyAlignment="1">
      <alignment horizontal="center" vertical="center" wrapText="1"/>
    </xf>
    <xf numFmtId="14" fontId="26" fillId="6" borderId="0" xfId="0" applyNumberFormat="1" applyFont="1" applyFill="1" applyBorder="1" applyAlignment="1">
      <alignment vertical="center" wrapText="1"/>
    </xf>
    <xf numFmtId="0" fontId="24" fillId="6" borderId="0" xfId="0" applyFont="1" applyFill="1" applyBorder="1" applyAlignment="1">
      <alignment horizontal="left" vertical="center" wrapText="1"/>
    </xf>
    <xf numFmtId="47" fontId="25" fillId="6" borderId="0" xfId="0" applyNumberFormat="1" applyFont="1" applyFill="1" applyBorder="1" applyAlignment="1">
      <alignment horizontal="center" vertical="center" wrapText="1"/>
    </xf>
    <xf numFmtId="0" fontId="26" fillId="4" borderId="11" xfId="0" applyFont="1" applyFill="1" applyBorder="1" applyAlignment="1">
      <alignment horizontal="center" wrapText="1"/>
    </xf>
    <xf numFmtId="0" fontId="26" fillId="4" borderId="12" xfId="0" applyFont="1" applyFill="1" applyBorder="1" applyAlignment="1">
      <alignment horizontal="center" wrapText="1"/>
    </xf>
    <xf numFmtId="0" fontId="26" fillId="4" borderId="12" xfId="0" applyFont="1" applyFill="1" applyBorder="1" applyAlignment="1">
      <alignment horizontal="left" wrapText="1"/>
    </xf>
    <xf numFmtId="0" fontId="28" fillId="0" borderId="0" xfId="0" applyFont="1" applyBorder="1" applyAlignment="1"/>
    <xf numFmtId="0" fontId="28" fillId="0" borderId="0" xfId="0" applyFont="1" applyBorder="1"/>
    <xf numFmtId="0" fontId="0" fillId="5" borderId="2" xfId="0" applyFill="1" applyBorder="1" applyAlignment="1">
      <alignment horizontal="center"/>
    </xf>
    <xf numFmtId="0" fontId="26" fillId="5" borderId="3" xfId="0" applyFont="1" applyFill="1" applyBorder="1" applyAlignment="1">
      <alignment horizontal="center" wrapText="1"/>
    </xf>
    <xf numFmtId="0" fontId="25" fillId="5" borderId="3" xfId="0" applyFont="1" applyFill="1" applyBorder="1" applyAlignment="1">
      <alignment horizontal="center" vertical="center" wrapText="1"/>
    </xf>
    <xf numFmtId="0" fontId="25" fillId="5" borderId="4" xfId="0" applyFont="1" applyFill="1" applyBorder="1" applyAlignment="1">
      <alignment horizontal="center" vertical="center" wrapText="1"/>
    </xf>
    <xf numFmtId="0" fontId="0" fillId="5" borderId="2" xfId="0" applyFill="1" applyBorder="1"/>
    <xf numFmtId="0" fontId="29" fillId="5" borderId="3" xfId="0" applyFont="1" applyFill="1" applyBorder="1" applyAlignment="1">
      <alignment horizontal="center" wrapText="1"/>
    </xf>
    <xf numFmtId="0" fontId="27" fillId="4" borderId="13" xfId="0" applyFont="1" applyFill="1" applyBorder="1" applyAlignment="1">
      <alignment horizontal="center"/>
    </xf>
    <xf numFmtId="49" fontId="30" fillId="0" borderId="0" xfId="1" applyNumberFormat="1" applyFont="1" applyAlignment="1">
      <alignment horizontal="center"/>
    </xf>
    <xf numFmtId="0" fontId="27" fillId="0" borderId="0" xfId="0" applyFont="1"/>
    <xf numFmtId="49" fontId="8" fillId="6" borderId="0" xfId="1" applyNumberFormat="1" applyFont="1" applyFill="1" applyAlignment="1">
      <alignment horizontal="center"/>
    </xf>
    <xf numFmtId="49" fontId="8" fillId="6" borderId="0" xfId="0" applyNumberFormat="1" applyFont="1" applyFill="1" applyAlignment="1">
      <alignment horizontal="center"/>
    </xf>
    <xf numFmtId="49" fontId="8" fillId="6" borderId="1" xfId="1" applyNumberFormat="1" applyFont="1" applyFill="1" applyBorder="1" applyAlignment="1">
      <alignment horizontal="center"/>
    </xf>
    <xf numFmtId="49" fontId="8" fillId="6" borderId="1" xfId="0" applyNumberFormat="1" applyFont="1" applyFill="1" applyBorder="1" applyAlignment="1">
      <alignment horizontal="center"/>
    </xf>
    <xf numFmtId="49" fontId="8" fillId="6" borderId="0" xfId="1" applyNumberFormat="1" applyFont="1" applyFill="1" applyBorder="1" applyAlignment="1">
      <alignment horizontal="center"/>
    </xf>
    <xf numFmtId="2" fontId="19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20" fontId="32" fillId="8" borderId="0" xfId="0" applyNumberFormat="1" applyFont="1" applyFill="1" applyBorder="1" applyAlignment="1">
      <alignment horizontal="center" readingOrder="1"/>
    </xf>
    <xf numFmtId="0" fontId="32" fillId="8" borderId="0" xfId="0" applyFont="1" applyFill="1" applyBorder="1" applyAlignment="1">
      <alignment horizontal="center" readingOrder="1"/>
    </xf>
    <xf numFmtId="0" fontId="32" fillId="8" borderId="0" xfId="0" applyFont="1" applyFill="1" applyBorder="1" applyAlignment="1">
      <alignment horizontal="left" readingOrder="1"/>
    </xf>
    <xf numFmtId="0" fontId="32" fillId="8" borderId="0" xfId="0" applyFont="1" applyFill="1" applyBorder="1" applyAlignment="1">
      <alignment horizontal="left"/>
    </xf>
    <xf numFmtId="46" fontId="32" fillId="8" borderId="0" xfId="0" applyNumberFormat="1" applyFont="1" applyFill="1" applyBorder="1" applyAlignment="1">
      <alignment horizontal="center" readingOrder="1"/>
    </xf>
    <xf numFmtId="49" fontId="12" fillId="6" borderId="0" xfId="1" applyNumberFormat="1" applyFont="1" applyFill="1" applyBorder="1" applyAlignment="1">
      <alignment horizontal="center"/>
    </xf>
    <xf numFmtId="0" fontId="32" fillId="7" borderId="0" xfId="0" applyFont="1" applyFill="1" applyBorder="1" applyAlignment="1">
      <alignment horizontal="center" readingOrder="1"/>
    </xf>
    <xf numFmtId="0" fontId="32" fillId="7" borderId="0" xfId="0" applyFont="1" applyFill="1" applyBorder="1" applyAlignment="1">
      <alignment horizontal="left" readingOrder="1"/>
    </xf>
    <xf numFmtId="20" fontId="32" fillId="7" borderId="0" xfId="0" applyNumberFormat="1" applyFont="1" applyFill="1" applyBorder="1" applyAlignment="1">
      <alignment horizontal="center" readingOrder="1"/>
    </xf>
    <xf numFmtId="20" fontId="33" fillId="7" borderId="0" xfId="0" applyNumberFormat="1" applyFont="1" applyFill="1" applyBorder="1" applyAlignment="1">
      <alignment horizontal="center" readingOrder="1"/>
    </xf>
    <xf numFmtId="0" fontId="0" fillId="7" borderId="0" xfId="0" applyFill="1"/>
    <xf numFmtId="49" fontId="12" fillId="6" borderId="0" xfId="1" applyNumberFormat="1" applyFont="1" applyFill="1" applyAlignment="1">
      <alignment horizontal="center"/>
    </xf>
    <xf numFmtId="49" fontId="12" fillId="6" borderId="0" xfId="0" applyNumberFormat="1" applyFont="1" applyFill="1" applyAlignment="1">
      <alignment horizontal="center"/>
    </xf>
    <xf numFmtId="49" fontId="12" fillId="6" borderId="0" xfId="0" applyNumberFormat="1" applyFont="1" applyFill="1" applyBorder="1" applyAlignment="1">
      <alignment horizontal="center"/>
    </xf>
    <xf numFmtId="49" fontId="8" fillId="6" borderId="0" xfId="0" applyNumberFormat="1" applyFont="1" applyFill="1" applyBorder="1" applyAlignment="1">
      <alignment horizontal="center"/>
    </xf>
    <xf numFmtId="0" fontId="35" fillId="0" borderId="0" xfId="0" applyFont="1"/>
    <xf numFmtId="0" fontId="15" fillId="6" borderId="0" xfId="0" applyFont="1" applyFill="1" applyAlignment="1">
      <alignment horizontal="center"/>
    </xf>
    <xf numFmtId="49" fontId="11" fillId="6" borderId="0" xfId="0" applyNumberFormat="1" applyFont="1" applyFill="1" applyAlignment="1">
      <alignment horizontal="center"/>
    </xf>
    <xf numFmtId="49" fontId="11" fillId="6" borderId="0" xfId="0" applyNumberFormat="1" applyFont="1" applyFill="1" applyBorder="1" applyAlignment="1">
      <alignment horizontal="center"/>
    </xf>
    <xf numFmtId="0" fontId="0" fillId="6" borderId="0" xfId="0" applyFill="1" applyAlignment="1">
      <alignment horizontal="center"/>
    </xf>
    <xf numFmtId="0" fontId="33" fillId="2" borderId="0" xfId="0" applyFont="1" applyFill="1" applyBorder="1" applyAlignment="1">
      <alignment horizontal="center" readingOrder="1"/>
    </xf>
    <xf numFmtId="0" fontId="33" fillId="2" borderId="0" xfId="0" applyFont="1" applyFill="1" applyBorder="1" applyAlignment="1">
      <alignment horizontal="left" readingOrder="1"/>
    </xf>
    <xf numFmtId="20" fontId="33" fillId="2" borderId="0" xfId="0" applyNumberFormat="1" applyFont="1" applyFill="1" applyBorder="1" applyAlignment="1">
      <alignment horizontal="center" readingOrder="1"/>
    </xf>
    <xf numFmtId="2" fontId="19" fillId="0" borderId="0" xfId="0" applyNumberFormat="1" applyFont="1"/>
    <xf numFmtId="2" fontId="16" fillId="6" borderId="8" xfId="0" applyNumberFormat="1" applyFont="1" applyFill="1" applyBorder="1" applyAlignment="1">
      <alignment horizontal="center"/>
    </xf>
    <xf numFmtId="0" fontId="37" fillId="6" borderId="0" xfId="0" applyFont="1" applyFill="1" applyBorder="1" applyAlignment="1">
      <alignment horizontal="left" readingOrder="1"/>
    </xf>
    <xf numFmtId="0" fontId="18" fillId="10" borderId="0" xfId="0" applyFont="1" applyFill="1"/>
    <xf numFmtId="0" fontId="0" fillId="10" borderId="0" xfId="0" applyFill="1"/>
    <xf numFmtId="0" fontId="0" fillId="0" borderId="0" xfId="0" applyBorder="1"/>
    <xf numFmtId="0" fontId="38" fillId="0" borderId="0" xfId="0" applyFont="1"/>
    <xf numFmtId="0" fontId="15" fillId="12" borderId="0" xfId="0" applyFont="1" applyFill="1" applyAlignment="1">
      <alignment horizontal="center"/>
    </xf>
    <xf numFmtId="0" fontId="8" fillId="12" borderId="3" xfId="0" applyFont="1" applyFill="1" applyBorder="1" applyAlignment="1">
      <alignment horizontal="center"/>
    </xf>
    <xf numFmtId="49" fontId="13" fillId="12" borderId="0" xfId="1" applyNumberFormat="1" applyFont="1" applyFill="1" applyAlignment="1">
      <alignment horizontal="center"/>
    </xf>
    <xf numFmtId="49" fontId="13" fillId="12" borderId="1" xfId="1" applyNumberFormat="1" applyFont="1" applyFill="1" applyBorder="1" applyAlignment="1">
      <alignment horizontal="center"/>
    </xf>
    <xf numFmtId="49" fontId="13" fillId="12" borderId="3" xfId="1" applyNumberFormat="1" applyFont="1" applyFill="1" applyBorder="1" applyAlignment="1">
      <alignment horizontal="center"/>
    </xf>
    <xf numFmtId="0" fontId="10" fillId="12" borderId="0" xfId="0" applyFont="1" applyFill="1" applyAlignment="1">
      <alignment horizontal="center"/>
    </xf>
    <xf numFmtId="49" fontId="8" fillId="10" borderId="2" xfId="1" applyNumberFormat="1" applyFont="1" applyFill="1" applyBorder="1" applyAlignment="1">
      <alignment horizontal="center"/>
    </xf>
    <xf numFmtId="0" fontId="8" fillId="10" borderId="3" xfId="0" applyFont="1" applyFill="1" applyBorder="1" applyAlignment="1">
      <alignment horizontal="center"/>
    </xf>
    <xf numFmtId="0" fontId="20" fillId="10" borderId="4" xfId="0" applyFont="1" applyFill="1" applyBorder="1" applyAlignment="1">
      <alignment horizontal="center"/>
    </xf>
    <xf numFmtId="49" fontId="39" fillId="6" borderId="0" xfId="1" applyNumberFormat="1" applyFont="1" applyFill="1" applyBorder="1" applyAlignment="1">
      <alignment horizontal="center"/>
    </xf>
    <xf numFmtId="0" fontId="10" fillId="6" borderId="0" xfId="0" applyFont="1" applyFill="1" applyBorder="1" applyAlignment="1">
      <alignment horizontal="center"/>
    </xf>
    <xf numFmtId="0" fontId="0" fillId="6" borderId="0" xfId="0" applyFill="1"/>
    <xf numFmtId="49" fontId="10" fillId="6" borderId="0" xfId="0" applyNumberFormat="1" applyFont="1" applyFill="1" applyBorder="1" applyAlignment="1">
      <alignment horizontal="center"/>
    </xf>
    <xf numFmtId="2" fontId="18" fillId="6" borderId="0" xfId="0" applyNumberFormat="1" applyFont="1" applyFill="1" applyBorder="1" applyAlignment="1">
      <alignment horizontal="center"/>
    </xf>
    <xf numFmtId="49" fontId="36" fillId="6" borderId="0" xfId="0" applyNumberFormat="1" applyFont="1" applyFill="1" applyBorder="1" applyAlignment="1">
      <alignment horizontal="center"/>
    </xf>
    <xf numFmtId="0" fontId="0" fillId="0" borderId="15" xfId="0" applyBorder="1"/>
    <xf numFmtId="0" fontId="0" fillId="0" borderId="16" xfId="0" applyBorder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/>
    <xf numFmtId="0" fontId="0" fillId="0" borderId="1" xfId="0" applyBorder="1" applyAlignment="1">
      <alignment horizontal="center"/>
    </xf>
    <xf numFmtId="0" fontId="0" fillId="0" borderId="1" xfId="0" applyBorder="1"/>
    <xf numFmtId="0" fontId="0" fillId="6" borderId="0" xfId="0" applyFill="1" applyBorder="1"/>
    <xf numFmtId="0" fontId="36" fillId="6" borderId="0" xfId="0" applyFont="1" applyFill="1" applyBorder="1" applyAlignment="1">
      <alignment horizontal="center"/>
    </xf>
    <xf numFmtId="0" fontId="0" fillId="0" borderId="19" xfId="0" applyBorder="1"/>
    <xf numFmtId="49" fontId="30" fillId="0" borderId="20" xfId="0" applyNumberFormat="1" applyFont="1" applyFill="1" applyBorder="1" applyAlignment="1">
      <alignment horizontal="right"/>
    </xf>
    <xf numFmtId="0" fontId="0" fillId="0" borderId="20" xfId="0" applyBorder="1"/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35" fillId="0" borderId="18" xfId="0" applyFont="1" applyBorder="1" applyAlignment="1">
      <alignment horizontal="center"/>
    </xf>
    <xf numFmtId="49" fontId="12" fillId="0" borderId="0" xfId="1" applyNumberFormat="1" applyFont="1" applyFill="1" applyBorder="1" applyAlignment="1">
      <alignment horizontal="center"/>
    </xf>
    <xf numFmtId="49" fontId="12" fillId="0" borderId="0" xfId="1" applyNumberFormat="1" applyFont="1" applyFill="1" applyAlignment="1">
      <alignment horizontal="center"/>
    </xf>
    <xf numFmtId="0" fontId="12" fillId="0" borderId="0" xfId="0" applyFont="1" applyAlignment="1">
      <alignment horizontal="center"/>
    </xf>
    <xf numFmtId="0" fontId="12" fillId="0" borderId="0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2" fontId="18" fillId="0" borderId="0" xfId="0" applyNumberFormat="1" applyFont="1" applyAlignment="1">
      <alignment horizontal="center"/>
    </xf>
    <xf numFmtId="49" fontId="13" fillId="12" borderId="0" xfId="1" applyNumberFormat="1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0" fontId="0" fillId="2" borderId="0" xfId="0" applyFill="1" applyAlignment="1">
      <alignment horizontal="center"/>
    </xf>
    <xf numFmtId="0" fontId="40" fillId="2" borderId="0" xfId="0" applyFont="1" applyFill="1" applyAlignment="1">
      <alignment horizontal="center"/>
    </xf>
    <xf numFmtId="0" fontId="40" fillId="2" borderId="0" xfId="0" applyNumberFormat="1" applyFont="1" applyFill="1" applyAlignment="1">
      <alignment horizontal="center"/>
    </xf>
    <xf numFmtId="49" fontId="40" fillId="2" borderId="0" xfId="0" applyNumberFormat="1" applyFont="1" applyFill="1" applyAlignment="1">
      <alignment horizontal="center"/>
    </xf>
    <xf numFmtId="0" fontId="6" fillId="3" borderId="0" xfId="0" applyFont="1" applyFill="1" applyAlignment="1">
      <alignment horizontal="center"/>
    </xf>
    <xf numFmtId="49" fontId="0" fillId="0" borderId="0" xfId="0" applyNumberFormat="1" applyAlignment="1">
      <alignment horizontal="left"/>
    </xf>
    <xf numFmtId="49" fontId="40" fillId="2" borderId="0" xfId="0" applyNumberFormat="1" applyFont="1" applyFill="1" applyAlignment="1">
      <alignment horizontal="left"/>
    </xf>
    <xf numFmtId="0" fontId="0" fillId="0" borderId="0" xfId="0" applyAlignment="1">
      <alignment horizontal="left"/>
    </xf>
    <xf numFmtId="49" fontId="8" fillId="6" borderId="0" xfId="1" applyNumberFormat="1" applyFont="1" applyFill="1" applyBorder="1" applyAlignment="1">
      <alignment horizontal="left"/>
    </xf>
    <xf numFmtId="0" fontId="16" fillId="6" borderId="8" xfId="0" applyFont="1" applyFill="1" applyBorder="1" applyAlignment="1">
      <alignment horizontal="left"/>
    </xf>
    <xf numFmtId="49" fontId="14" fillId="7" borderId="0" xfId="1" applyNumberFormat="1" applyFont="1" applyFill="1" applyAlignment="1">
      <alignment horizontal="center"/>
    </xf>
    <xf numFmtId="0" fontId="0" fillId="6" borderId="1" xfId="0" applyFill="1" applyBorder="1"/>
    <xf numFmtId="49" fontId="36" fillId="6" borderId="0" xfId="1" applyNumberFormat="1" applyFont="1" applyFill="1" applyBorder="1" applyAlignment="1">
      <alignment horizontal="center"/>
    </xf>
    <xf numFmtId="0" fontId="0" fillId="11" borderId="1" xfId="0" applyFill="1" applyBorder="1"/>
    <xf numFmtId="0" fontId="0" fillId="11" borderId="1" xfId="0" applyFill="1" applyBorder="1" applyAlignment="1">
      <alignment horizontal="center"/>
    </xf>
    <xf numFmtId="0" fontId="39" fillId="6" borderId="0" xfId="0" applyFont="1" applyFill="1" applyBorder="1" applyAlignment="1">
      <alignment horizontal="center"/>
    </xf>
    <xf numFmtId="0" fontId="39" fillId="6" borderId="0" xfId="0" applyFont="1" applyFill="1" applyAlignment="1">
      <alignment horizontal="center"/>
    </xf>
    <xf numFmtId="0" fontId="45" fillId="0" borderId="0" xfId="0" applyFont="1"/>
    <xf numFmtId="0" fontId="36" fillId="15" borderId="11" xfId="0" applyFont="1" applyFill="1" applyBorder="1" applyAlignment="1">
      <alignment horizontal="center" wrapText="1"/>
    </xf>
    <xf numFmtId="0" fontId="36" fillId="15" borderId="12" xfId="0" applyFont="1" applyFill="1" applyBorder="1" applyAlignment="1">
      <alignment horizontal="center" wrapText="1"/>
    </xf>
    <xf numFmtId="0" fontId="36" fillId="15" borderId="13" xfId="0" applyFont="1" applyFill="1" applyBorder="1" applyAlignment="1">
      <alignment horizontal="center"/>
    </xf>
    <xf numFmtId="0" fontId="5" fillId="15" borderId="3" xfId="0" applyFont="1" applyFill="1" applyBorder="1" applyAlignment="1">
      <alignment horizontal="center" vertical="center" wrapText="1"/>
    </xf>
    <xf numFmtId="0" fontId="37" fillId="6" borderId="0" xfId="0" applyFont="1" applyFill="1" applyBorder="1" applyAlignment="1">
      <alignment horizontal="center" vertical="center" wrapText="1"/>
    </xf>
    <xf numFmtId="47" fontId="43" fillId="6" borderId="0" xfId="0" applyNumberFormat="1" applyFont="1" applyFill="1" applyBorder="1" applyAlignment="1">
      <alignment horizontal="center" vertical="center" wrapText="1"/>
    </xf>
    <xf numFmtId="0" fontId="41" fillId="15" borderId="3" xfId="0" applyFont="1" applyFill="1" applyBorder="1" applyAlignment="1">
      <alignment horizontal="center" vertical="center" wrapText="1"/>
    </xf>
    <xf numFmtId="0" fontId="10" fillId="0" borderId="0" xfId="0" applyFont="1" applyBorder="1" applyAlignment="1"/>
    <xf numFmtId="0" fontId="5" fillId="13" borderId="3" xfId="0" applyFont="1" applyFill="1" applyBorder="1" applyAlignment="1">
      <alignment horizontal="center" vertical="center" wrapText="1"/>
    </xf>
    <xf numFmtId="0" fontId="41" fillId="13" borderId="3" xfId="0" applyFont="1" applyFill="1" applyBorder="1" applyAlignment="1">
      <alignment horizontal="center" vertical="center" wrapText="1"/>
    </xf>
    <xf numFmtId="0" fontId="10" fillId="0" borderId="0" xfId="0" applyFont="1" applyBorder="1"/>
    <xf numFmtId="0" fontId="36" fillId="15" borderId="3" xfId="0" applyFont="1" applyFill="1" applyBorder="1" applyAlignment="1">
      <alignment horizontal="center" wrapText="1"/>
    </xf>
    <xf numFmtId="0" fontId="5" fillId="13" borderId="4" xfId="0" applyFont="1" applyFill="1" applyBorder="1" applyAlignment="1">
      <alignment horizontal="center" vertical="center" wrapText="1"/>
    </xf>
    <xf numFmtId="0" fontId="45" fillId="13" borderId="2" xfId="0" applyFont="1" applyFill="1" applyBorder="1"/>
    <xf numFmtId="0" fontId="41" fillId="13" borderId="4" xfId="0" applyFont="1" applyFill="1" applyBorder="1" applyAlignment="1">
      <alignment horizontal="center" vertical="center" wrapText="1"/>
    </xf>
    <xf numFmtId="0" fontId="12" fillId="15" borderId="3" xfId="0" applyFont="1" applyFill="1" applyBorder="1" applyAlignment="1">
      <alignment horizontal="center" wrapText="1"/>
    </xf>
    <xf numFmtId="0" fontId="47" fillId="13" borderId="2" xfId="0" applyFont="1" applyFill="1" applyBorder="1" applyAlignment="1">
      <alignment horizontal="center"/>
    </xf>
    <xf numFmtId="49" fontId="42" fillId="10" borderId="4" xfId="0" applyNumberFormat="1" applyFont="1" applyFill="1" applyBorder="1" applyAlignment="1">
      <alignment horizontal="center"/>
    </xf>
    <xf numFmtId="164" fontId="12" fillId="10" borderId="2" xfId="0" applyNumberFormat="1" applyFont="1" applyFill="1" applyBorder="1" applyAlignment="1">
      <alignment horizontal="center"/>
    </xf>
    <xf numFmtId="49" fontId="8" fillId="10" borderId="3" xfId="1" applyNumberFormat="1" applyFont="1" applyFill="1" applyBorder="1" applyAlignment="1">
      <alignment horizontal="center"/>
    </xf>
    <xf numFmtId="49" fontId="31" fillId="0" borderId="0" xfId="0" applyNumberFormat="1" applyFont="1" applyAlignment="1">
      <alignment horizontal="center"/>
    </xf>
    <xf numFmtId="2" fontId="31" fillId="0" borderId="0" xfId="0" applyNumberFormat="1" applyFont="1" applyAlignment="1">
      <alignment horizontal="center"/>
    </xf>
    <xf numFmtId="0" fontId="0" fillId="14" borderId="20" xfId="0" applyFill="1" applyBorder="1"/>
    <xf numFmtId="0" fontId="31" fillId="14" borderId="20" xfId="0" applyFont="1" applyFill="1" applyBorder="1" applyAlignment="1">
      <alignment horizontal="center"/>
    </xf>
    <xf numFmtId="2" fontId="31" fillId="14" borderId="20" xfId="0" applyNumberFormat="1" applyFont="1" applyFill="1" applyBorder="1" applyAlignment="1">
      <alignment horizontal="center"/>
    </xf>
    <xf numFmtId="49" fontId="31" fillId="14" borderId="20" xfId="0" applyNumberFormat="1" applyFont="1" applyFill="1" applyBorder="1" applyAlignment="1">
      <alignment horizontal="center"/>
    </xf>
    <xf numFmtId="0" fontId="0" fillId="14" borderId="20" xfId="0" applyFill="1" applyBorder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/>
    <xf numFmtId="49" fontId="0" fillId="0" borderId="0" xfId="0" applyNumberFormat="1" applyFont="1" applyAlignment="1">
      <alignment horizontal="center"/>
    </xf>
    <xf numFmtId="0" fontId="0" fillId="16" borderId="0" xfId="0" applyFont="1" applyFill="1" applyAlignment="1">
      <alignment horizontal="center"/>
    </xf>
    <xf numFmtId="49" fontId="0" fillId="16" borderId="0" xfId="0" applyNumberFormat="1" applyFont="1" applyFill="1" applyAlignment="1">
      <alignment horizontal="center"/>
    </xf>
    <xf numFmtId="0" fontId="48" fillId="9" borderId="0" xfId="0" applyFont="1" applyFill="1" applyAlignment="1">
      <alignment horizontal="center"/>
    </xf>
    <xf numFmtId="0" fontId="48" fillId="9" borderId="0" xfId="0" applyFont="1" applyFill="1"/>
    <xf numFmtId="49" fontId="48" fillId="9" borderId="0" xfId="0" applyNumberFormat="1" applyFont="1" applyFill="1" applyAlignment="1">
      <alignment horizontal="center"/>
    </xf>
    <xf numFmtId="0" fontId="0" fillId="0" borderId="0" xfId="0" applyFont="1" applyAlignment="1">
      <alignment vertical="top"/>
    </xf>
    <xf numFmtId="49" fontId="36" fillId="6" borderId="0" xfId="0" applyNumberFormat="1" applyFont="1" applyFill="1" applyBorder="1" applyAlignment="1">
      <alignment horizontal="left" vertical="center"/>
    </xf>
    <xf numFmtId="0" fontId="5" fillId="13" borderId="0" xfId="0" applyFont="1" applyFill="1" applyBorder="1" applyAlignment="1">
      <alignment horizontal="center" vertical="center" wrapText="1"/>
    </xf>
    <xf numFmtId="0" fontId="5" fillId="15" borderId="0" xfId="0" applyFont="1" applyFill="1" applyBorder="1" applyAlignment="1">
      <alignment horizontal="center" vertical="center" wrapText="1"/>
    </xf>
    <xf numFmtId="0" fontId="0" fillId="9" borderId="0" xfId="0" applyFill="1"/>
    <xf numFmtId="0" fontId="0" fillId="2" borderId="0" xfId="0" applyFill="1"/>
    <xf numFmtId="0" fontId="0" fillId="2" borderId="0" xfId="0" applyFont="1" applyFill="1" applyAlignment="1">
      <alignment horizontal="center"/>
    </xf>
    <xf numFmtId="0" fontId="0" fillId="2" borderId="0" xfId="0" applyFont="1" applyFill="1"/>
    <xf numFmtId="49" fontId="0" fillId="2" borderId="0" xfId="0" applyNumberFormat="1" applyFont="1" applyFill="1" applyAlignment="1">
      <alignment horizontal="center"/>
    </xf>
    <xf numFmtId="49" fontId="48" fillId="15" borderId="0" xfId="0" applyNumberFormat="1" applyFont="1" applyFill="1" applyAlignment="1">
      <alignment horizontal="center"/>
    </xf>
    <xf numFmtId="0" fontId="0" fillId="15" borderId="0" xfId="0" applyFill="1"/>
    <xf numFmtId="0" fontId="27" fillId="0" borderId="0" xfId="0" applyFont="1" applyAlignment="1">
      <alignment horizontal="center"/>
    </xf>
    <xf numFmtId="0" fontId="48" fillId="6" borderId="0" xfId="0" applyFont="1" applyFill="1" applyAlignment="1">
      <alignment horizontal="center"/>
    </xf>
    <xf numFmtId="0" fontId="48" fillId="6" borderId="0" xfId="0" applyFont="1" applyFill="1"/>
    <xf numFmtId="49" fontId="48" fillId="6" borderId="0" xfId="0" applyNumberFormat="1" applyFont="1" applyFill="1" applyAlignment="1">
      <alignment horizontal="center"/>
    </xf>
    <xf numFmtId="0" fontId="1" fillId="6" borderId="0" xfId="1" applyNumberFormat="1" applyFill="1" applyAlignment="1">
      <alignment horizontal="center"/>
    </xf>
    <xf numFmtId="49" fontId="1" fillId="6" borderId="0" xfId="1" applyNumberFormat="1" applyFill="1"/>
    <xf numFmtId="49" fontId="1" fillId="6" borderId="0" xfId="1" applyNumberFormat="1" applyFill="1" applyAlignment="1">
      <alignment horizontal="center"/>
    </xf>
    <xf numFmtId="49" fontId="2" fillId="6" borderId="0" xfId="1" applyNumberFormat="1" applyFont="1" applyFill="1" applyAlignment="1">
      <alignment horizontal="center"/>
    </xf>
    <xf numFmtId="0" fontId="19" fillId="6" borderId="0" xfId="0" applyFont="1" applyFill="1" applyAlignment="1">
      <alignment horizontal="center"/>
    </xf>
    <xf numFmtId="0" fontId="46" fillId="6" borderId="0" xfId="0" applyFont="1" applyFill="1" applyAlignment="1">
      <alignment horizontal="right"/>
    </xf>
    <xf numFmtId="49" fontId="0" fillId="7" borderId="0" xfId="0" applyNumberFormat="1" applyFont="1" applyFill="1" applyAlignment="1">
      <alignment horizontal="center"/>
    </xf>
    <xf numFmtId="0" fontId="0" fillId="7" borderId="0" xfId="0" applyFont="1" applyFill="1" applyAlignment="1">
      <alignment horizontal="center"/>
    </xf>
    <xf numFmtId="0" fontId="0" fillId="7" borderId="0" xfId="0" applyFont="1" applyFill="1"/>
    <xf numFmtId="0" fontId="38" fillId="0" borderId="0" xfId="0" applyFont="1" applyAlignment="1">
      <alignment horizontal="center"/>
    </xf>
    <xf numFmtId="49" fontId="50" fillId="0" borderId="0" xfId="1" applyNumberFormat="1" applyFont="1" applyAlignment="1">
      <alignment horizontal="center"/>
    </xf>
    <xf numFmtId="0" fontId="15" fillId="7" borderId="0" xfId="0" applyFont="1" applyFill="1" applyAlignment="1">
      <alignment horizontal="center"/>
    </xf>
    <xf numFmtId="0" fontId="8" fillId="7" borderId="3" xfId="0" applyFont="1" applyFill="1" applyBorder="1" applyAlignment="1">
      <alignment horizontal="center"/>
    </xf>
    <xf numFmtId="0" fontId="10" fillId="7" borderId="0" xfId="0" applyFont="1" applyFill="1" applyAlignment="1">
      <alignment horizontal="center"/>
    </xf>
    <xf numFmtId="49" fontId="8" fillId="6" borderId="2" xfId="1" applyNumberFormat="1" applyFont="1" applyFill="1" applyBorder="1" applyAlignment="1">
      <alignment horizontal="center"/>
    </xf>
    <xf numFmtId="0" fontId="8" fillId="6" borderId="3" xfId="0" applyFont="1" applyFill="1" applyBorder="1" applyAlignment="1">
      <alignment horizontal="center"/>
    </xf>
    <xf numFmtId="49" fontId="8" fillId="6" borderId="3" xfId="1" applyNumberFormat="1" applyFont="1" applyFill="1" applyBorder="1" applyAlignment="1">
      <alignment horizontal="center"/>
    </xf>
    <xf numFmtId="0" fontId="51" fillId="0" borderId="0" xfId="0" applyFont="1" applyAlignment="1">
      <alignment horizontal="center"/>
    </xf>
    <xf numFmtId="0" fontId="51" fillId="0" borderId="0" xfId="0" applyFont="1" applyBorder="1" applyAlignment="1">
      <alignment horizontal="center"/>
    </xf>
    <xf numFmtId="49" fontId="51" fillId="0" borderId="0" xfId="1" applyNumberFormat="1" applyFont="1" applyFill="1" applyAlignment="1">
      <alignment horizontal="center"/>
    </xf>
    <xf numFmtId="49" fontId="51" fillId="0" borderId="0" xfId="1" applyNumberFormat="1" applyFont="1" applyFill="1" applyBorder="1" applyAlignment="1">
      <alignment horizontal="center"/>
    </xf>
    <xf numFmtId="2" fontId="19" fillId="6" borderId="0" xfId="0" applyNumberFormat="1" applyFont="1" applyFill="1" applyAlignment="1">
      <alignment horizontal="center"/>
    </xf>
    <xf numFmtId="0" fontId="7" fillId="0" borderId="0" xfId="0" applyFont="1"/>
    <xf numFmtId="0" fontId="52" fillId="6" borderId="4" xfId="0" applyFont="1" applyFill="1" applyBorder="1" applyAlignment="1">
      <alignment horizontal="center"/>
    </xf>
    <xf numFmtId="49" fontId="14" fillId="7" borderId="3" xfId="1" applyNumberFormat="1" applyFont="1" applyFill="1" applyBorder="1" applyAlignment="1">
      <alignment horizontal="center"/>
    </xf>
    <xf numFmtId="49" fontId="10" fillId="6" borderId="0" xfId="0" applyNumberFormat="1" applyFont="1" applyFill="1" applyAlignment="1">
      <alignment horizontal="center"/>
    </xf>
    <xf numFmtId="49" fontId="10" fillId="6" borderId="1" xfId="0" applyNumberFormat="1" applyFont="1" applyFill="1" applyBorder="1" applyAlignment="1">
      <alignment horizontal="center"/>
    </xf>
    <xf numFmtId="49" fontId="36" fillId="6" borderId="4" xfId="0" applyNumberFormat="1" applyFont="1" applyFill="1" applyBorder="1" applyAlignment="1">
      <alignment horizontal="center"/>
    </xf>
    <xf numFmtId="164" fontId="36" fillId="6" borderId="2" xfId="0" applyNumberFormat="1" applyFont="1" applyFill="1" applyBorder="1" applyAlignment="1">
      <alignment horizontal="center"/>
    </xf>
    <xf numFmtId="0" fontId="31" fillId="14" borderId="20" xfId="0" applyFont="1" applyFill="1" applyBorder="1" applyAlignment="1">
      <alignment horizontal="right"/>
    </xf>
    <xf numFmtId="49" fontId="31" fillId="0" borderId="0" xfId="0" applyNumberFormat="1" applyFont="1" applyAlignment="1">
      <alignment horizontal="right"/>
    </xf>
    <xf numFmtId="0" fontId="0" fillId="16" borderId="23" xfId="0" applyFill="1" applyBorder="1"/>
    <xf numFmtId="49" fontId="36" fillId="16" borderId="24" xfId="0" applyNumberFormat="1" applyFont="1" applyFill="1" applyBorder="1" applyAlignment="1">
      <alignment horizontal="right"/>
    </xf>
    <xf numFmtId="0" fontId="0" fillId="14" borderId="27" xfId="0" applyFill="1" applyBorder="1"/>
    <xf numFmtId="20" fontId="31" fillId="14" borderId="28" xfId="0" applyNumberFormat="1" applyFont="1" applyFill="1" applyBorder="1" applyAlignment="1">
      <alignment horizontal="right"/>
    </xf>
    <xf numFmtId="0" fontId="0" fillId="16" borderId="22" xfId="0" applyFill="1" applyBorder="1"/>
    <xf numFmtId="0" fontId="0" fillId="16" borderId="14" xfId="0" applyFill="1" applyBorder="1"/>
    <xf numFmtId="0" fontId="0" fillId="16" borderId="25" xfId="0" applyFill="1" applyBorder="1"/>
    <xf numFmtId="0" fontId="46" fillId="6" borderId="0" xfId="0" applyFont="1" applyFill="1" applyBorder="1" applyAlignment="1">
      <alignment horizontal="right" vertical="center"/>
    </xf>
    <xf numFmtId="14" fontId="36" fillId="6" borderId="0" xfId="0" applyNumberFormat="1" applyFont="1" applyFill="1" applyBorder="1" applyAlignment="1">
      <alignment horizontal="center" vertical="center" wrapText="1"/>
    </xf>
    <xf numFmtId="49" fontId="49" fillId="16" borderId="24" xfId="0" applyNumberFormat="1" applyFont="1" applyFill="1" applyBorder="1" applyAlignment="1">
      <alignment horizontal="right" vertical="center"/>
    </xf>
    <xf numFmtId="0" fontId="44" fillId="6" borderId="0" xfId="0" applyFont="1" applyFill="1" applyAlignment="1">
      <alignment horizontal="center"/>
    </xf>
    <xf numFmtId="0" fontId="44" fillId="6" borderId="0" xfId="0" applyFont="1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53" fillId="6" borderId="0" xfId="0" applyFont="1" applyFill="1" applyBorder="1" applyAlignment="1">
      <alignment horizontal="center"/>
    </xf>
    <xf numFmtId="49" fontId="53" fillId="6" borderId="0" xfId="1" applyNumberFormat="1" applyFont="1" applyFill="1" applyBorder="1" applyAlignment="1">
      <alignment horizontal="center"/>
    </xf>
    <xf numFmtId="49" fontId="53" fillId="6" borderId="0" xfId="0" applyNumberFormat="1" applyFont="1" applyFill="1" applyBorder="1" applyAlignment="1">
      <alignment horizontal="center"/>
    </xf>
    <xf numFmtId="49" fontId="42" fillId="11" borderId="0" xfId="1" applyNumberFormat="1" applyFont="1" applyFill="1" applyBorder="1" applyAlignment="1">
      <alignment horizontal="center"/>
    </xf>
    <xf numFmtId="0" fontId="36" fillId="0" borderId="0" xfId="0" applyFont="1" applyBorder="1" applyAlignment="1">
      <alignment horizontal="center"/>
    </xf>
    <xf numFmtId="0" fontId="54" fillId="0" borderId="0" xfId="0" applyFont="1" applyBorder="1" applyAlignment="1">
      <alignment horizontal="center"/>
    </xf>
    <xf numFmtId="0" fontId="55" fillId="0" borderId="16" xfId="0" applyFont="1" applyBorder="1" applyAlignment="1">
      <alignment horizontal="center"/>
    </xf>
    <xf numFmtId="21" fontId="33" fillId="15" borderId="0" xfId="0" applyNumberFormat="1" applyFont="1" applyFill="1" applyBorder="1" applyAlignment="1">
      <alignment horizontal="center"/>
    </xf>
    <xf numFmtId="0" fontId="33" fillId="15" borderId="0" xfId="0" applyFont="1" applyFill="1" applyBorder="1" applyAlignment="1">
      <alignment horizontal="center" readingOrder="1"/>
    </xf>
    <xf numFmtId="0" fontId="0" fillId="15" borderId="0" xfId="0" applyFill="1" applyAlignment="1">
      <alignment horizontal="center"/>
    </xf>
    <xf numFmtId="49" fontId="5" fillId="15" borderId="0" xfId="1" applyNumberFormat="1" applyFont="1" applyFill="1" applyAlignment="1">
      <alignment horizontal="center"/>
    </xf>
    <xf numFmtId="49" fontId="2" fillId="15" borderId="0" xfId="0" applyNumberFormat="1" applyFont="1" applyFill="1" applyAlignment="1">
      <alignment horizontal="center"/>
    </xf>
    <xf numFmtId="0" fontId="5" fillId="6" borderId="0" xfId="0" applyFont="1" applyFill="1" applyBorder="1" applyAlignment="1">
      <alignment horizontal="center" vertical="center" wrapText="1"/>
    </xf>
    <xf numFmtId="0" fontId="41" fillId="6" borderId="0" xfId="0" applyFont="1" applyFill="1" applyBorder="1" applyAlignment="1">
      <alignment horizontal="center" vertical="center" wrapText="1"/>
    </xf>
    <xf numFmtId="0" fontId="10" fillId="6" borderId="0" xfId="0" applyFont="1" applyFill="1" applyBorder="1"/>
    <xf numFmtId="2" fontId="18" fillId="11" borderId="0" xfId="0" applyNumberFormat="1" applyFont="1" applyFill="1" applyBorder="1" applyAlignment="1">
      <alignment horizontal="center"/>
    </xf>
    <xf numFmtId="2" fontId="19" fillId="6" borderId="8" xfId="0" applyNumberFormat="1" applyFont="1" applyFill="1" applyBorder="1" applyAlignment="1">
      <alignment horizontal="center"/>
    </xf>
    <xf numFmtId="0" fontId="8" fillId="16" borderId="26" xfId="0" applyFont="1" applyFill="1" applyBorder="1" applyAlignment="1">
      <alignment horizontal="right"/>
    </xf>
    <xf numFmtId="0" fontId="47" fillId="13" borderId="29" xfId="0" applyFont="1" applyFill="1" applyBorder="1" applyAlignment="1">
      <alignment horizontal="center"/>
    </xf>
    <xf numFmtId="0" fontId="36" fillId="15" borderId="30" xfId="0" applyFont="1" applyFill="1" applyBorder="1" applyAlignment="1">
      <alignment horizontal="center" wrapText="1"/>
    </xf>
    <xf numFmtId="14" fontId="36" fillId="6" borderId="0" xfId="0" applyNumberFormat="1" applyFont="1" applyFill="1" applyBorder="1" applyAlignment="1">
      <alignment horizontal="right" vertical="center" wrapText="1"/>
    </xf>
    <xf numFmtId="164" fontId="12" fillId="6" borderId="2" xfId="0" applyNumberFormat="1" applyFont="1" applyFill="1" applyBorder="1" applyAlignment="1">
      <alignment horizontal="center"/>
    </xf>
    <xf numFmtId="49" fontId="42" fillId="6" borderId="4" xfId="0" applyNumberFormat="1" applyFont="1" applyFill="1" applyBorder="1" applyAlignment="1">
      <alignment horizontal="center"/>
    </xf>
    <xf numFmtId="0" fontId="10" fillId="6" borderId="0" xfId="0" applyFont="1" applyFill="1" applyAlignment="1">
      <alignment horizontal="center"/>
    </xf>
    <xf numFmtId="49" fontId="56" fillId="12" borderId="3" xfId="1" applyNumberFormat="1" applyFont="1" applyFill="1" applyBorder="1" applyAlignment="1">
      <alignment horizontal="center"/>
    </xf>
    <xf numFmtId="0" fontId="57" fillId="0" borderId="0" xfId="0" applyFont="1"/>
    <xf numFmtId="1" fontId="19" fillId="6" borderId="0" xfId="0" applyNumberFormat="1" applyFont="1" applyFill="1" applyAlignment="1">
      <alignment horizontal="center"/>
    </xf>
    <xf numFmtId="49" fontId="13" fillId="12" borderId="31" xfId="1" applyNumberFormat="1" applyFont="1" applyFill="1" applyBorder="1" applyAlignment="1">
      <alignment horizontal="center"/>
    </xf>
    <xf numFmtId="2" fontId="16" fillId="6" borderId="31" xfId="0" applyNumberFormat="1" applyFont="1" applyFill="1" applyBorder="1" applyAlignment="1">
      <alignment horizontal="center"/>
    </xf>
    <xf numFmtId="2" fontId="19" fillId="0" borderId="16" xfId="0" applyNumberFormat="1" applyFont="1" applyBorder="1" applyAlignment="1">
      <alignment horizontal="center"/>
    </xf>
    <xf numFmtId="0" fontId="12" fillId="0" borderId="22" xfId="0" applyFont="1" applyBorder="1" applyAlignment="1">
      <alignment horizontal="center"/>
    </xf>
    <xf numFmtId="0" fontId="12" fillId="0" borderId="23" xfId="0" applyFont="1" applyBorder="1" applyAlignment="1">
      <alignment horizontal="center"/>
    </xf>
    <xf numFmtId="49" fontId="12" fillId="0" borderId="14" xfId="1" applyNumberFormat="1" applyFont="1" applyFill="1" applyBorder="1" applyAlignment="1">
      <alignment horizontal="center"/>
    </xf>
    <xf numFmtId="49" fontId="12" fillId="0" borderId="24" xfId="1" applyNumberFormat="1" applyFont="1" applyFill="1" applyBorder="1" applyAlignment="1">
      <alignment horizontal="center"/>
    </xf>
    <xf numFmtId="49" fontId="13" fillId="12" borderId="14" xfId="1" applyNumberFormat="1" applyFont="1" applyFill="1" applyBorder="1" applyAlignment="1">
      <alignment horizontal="center"/>
    </xf>
    <xf numFmtId="49" fontId="13" fillId="12" borderId="24" xfId="1" applyNumberFormat="1" applyFont="1" applyFill="1" applyBorder="1" applyAlignment="1">
      <alignment horizontal="center"/>
    </xf>
    <xf numFmtId="49" fontId="8" fillId="6" borderId="25" xfId="0" applyNumberFormat="1" applyFont="1" applyFill="1" applyBorder="1" applyAlignment="1">
      <alignment horizontal="center"/>
    </xf>
    <xf numFmtId="49" fontId="8" fillId="6" borderId="26" xfId="0" applyNumberFormat="1" applyFont="1" applyFill="1" applyBorder="1" applyAlignment="1">
      <alignment horizontal="center"/>
    </xf>
    <xf numFmtId="49" fontId="42" fillId="6" borderId="0" xfId="1" applyNumberFormat="1" applyFont="1" applyFill="1" applyBorder="1" applyAlignment="1">
      <alignment horizontal="center"/>
    </xf>
    <xf numFmtId="49" fontId="49" fillId="11" borderId="0" xfId="0" applyNumberFormat="1" applyFont="1" applyFill="1" applyBorder="1" applyAlignment="1">
      <alignment horizontal="center"/>
    </xf>
    <xf numFmtId="49" fontId="36" fillId="11" borderId="0" xfId="1" applyNumberFormat="1" applyFont="1" applyFill="1" applyBorder="1" applyAlignment="1">
      <alignment horizontal="center"/>
    </xf>
    <xf numFmtId="49" fontId="51" fillId="6" borderId="0" xfId="0" applyNumberFormat="1" applyFont="1" applyFill="1" applyAlignment="1">
      <alignment horizontal="center"/>
    </xf>
    <xf numFmtId="164" fontId="19" fillId="0" borderId="0" xfId="0" applyNumberFormat="1" applyFont="1" applyAlignment="1">
      <alignment horizontal="center"/>
    </xf>
    <xf numFmtId="49" fontId="58" fillId="10" borderId="0" xfId="0" applyNumberFormat="1" applyFont="1" applyFill="1" applyAlignment="1">
      <alignment horizontal="center"/>
    </xf>
    <xf numFmtId="49" fontId="58" fillId="10" borderId="0" xfId="0" applyNumberFormat="1" applyFont="1" applyFill="1" applyBorder="1" applyAlignment="1">
      <alignment horizontal="center"/>
    </xf>
    <xf numFmtId="0" fontId="36" fillId="11" borderId="0" xfId="0" applyFont="1" applyFill="1" applyBorder="1" applyAlignment="1">
      <alignment horizontal="center"/>
    </xf>
    <xf numFmtId="0" fontId="39" fillId="11" borderId="0" xfId="0" applyFont="1" applyFill="1" applyBorder="1" applyAlignment="1">
      <alignment horizontal="center"/>
    </xf>
    <xf numFmtId="49" fontId="14" fillId="11" borderId="0" xfId="1" applyNumberFormat="1" applyFont="1" applyFill="1" applyBorder="1" applyAlignment="1">
      <alignment horizontal="center"/>
    </xf>
    <xf numFmtId="0" fontId="39" fillId="11" borderId="0" xfId="0" applyFont="1" applyFill="1" applyAlignment="1">
      <alignment horizontal="center"/>
    </xf>
    <xf numFmtId="0" fontId="35" fillId="0" borderId="16" xfId="0" applyFont="1" applyBorder="1"/>
    <xf numFmtId="0" fontId="40" fillId="16" borderId="0" xfId="0" applyFont="1" applyFill="1"/>
    <xf numFmtId="0" fontId="0" fillId="16" borderId="0" xfId="0" applyFill="1"/>
    <xf numFmtId="49" fontId="0" fillId="16" borderId="0" xfId="0" applyNumberFormat="1" applyFill="1" applyAlignment="1">
      <alignment horizontal="center"/>
    </xf>
    <xf numFmtId="0" fontId="59" fillId="0" borderId="0" xfId="0" applyFont="1"/>
    <xf numFmtId="49" fontId="60" fillId="7" borderId="0" xfId="1" applyNumberFormat="1" applyFont="1" applyFill="1" applyAlignment="1">
      <alignment horizontal="center"/>
    </xf>
    <xf numFmtId="0" fontId="33" fillId="6" borderId="0" xfId="0" applyFont="1" applyFill="1"/>
    <xf numFmtId="49" fontId="58" fillId="10" borderId="31" xfId="0" applyNumberFormat="1" applyFont="1" applyFill="1" applyBorder="1" applyAlignment="1">
      <alignment horizontal="center"/>
    </xf>
    <xf numFmtId="0" fontId="12" fillId="0" borderId="31" xfId="0" applyFont="1" applyBorder="1" applyAlignment="1">
      <alignment horizontal="center"/>
    </xf>
    <xf numFmtId="49" fontId="12" fillId="6" borderId="31" xfId="1" applyNumberFormat="1" applyFont="1" applyFill="1" applyBorder="1" applyAlignment="1">
      <alignment horizontal="center"/>
    </xf>
    <xf numFmtId="0" fontId="61" fillId="6" borderId="0" xfId="0" applyFont="1" applyFill="1" applyBorder="1" applyAlignment="1">
      <alignment horizontal="center"/>
    </xf>
    <xf numFmtId="49" fontId="61" fillId="6" borderId="0" xfId="1" applyNumberFormat="1" applyFont="1" applyFill="1" applyBorder="1" applyAlignment="1">
      <alignment horizontal="center"/>
    </xf>
    <xf numFmtId="49" fontId="61" fillId="6" borderId="0" xfId="0" applyNumberFormat="1" applyFont="1" applyFill="1" applyBorder="1" applyAlignment="1">
      <alignment horizontal="center"/>
    </xf>
    <xf numFmtId="2" fontId="62" fillId="6" borderId="0" xfId="0" applyNumberFormat="1" applyFont="1" applyFill="1" applyBorder="1" applyAlignment="1">
      <alignment horizontal="center"/>
    </xf>
    <xf numFmtId="165" fontId="62" fillId="6" borderId="0" xfId="0" applyNumberFormat="1" applyFont="1" applyFill="1" applyBorder="1" applyAlignment="1">
      <alignment horizontal="center"/>
    </xf>
    <xf numFmtId="0" fontId="44" fillId="0" borderId="0" xfId="0" applyFont="1" applyAlignment="1">
      <alignment horizontal="center"/>
    </xf>
    <xf numFmtId="0" fontId="63" fillId="8" borderId="0" xfId="0" applyFont="1" applyFill="1" applyBorder="1" applyAlignment="1">
      <alignment horizontal="center" vertical="center"/>
    </xf>
    <xf numFmtId="0" fontId="48" fillId="6" borderId="0" xfId="0" applyFont="1" applyFill="1" applyBorder="1" applyAlignment="1">
      <alignment horizontal="center"/>
    </xf>
    <xf numFmtId="21" fontId="63" fillId="15" borderId="0" xfId="0" applyNumberFormat="1" applyFont="1" applyFill="1" applyBorder="1" applyAlignment="1">
      <alignment horizontal="center" vertical="center"/>
    </xf>
    <xf numFmtId="0" fontId="63" fillId="8" borderId="0" xfId="0" applyFont="1" applyFill="1" applyBorder="1" applyAlignment="1">
      <alignment vertical="center"/>
    </xf>
    <xf numFmtId="20" fontId="63" fillId="8" borderId="0" xfId="0" applyNumberFormat="1" applyFont="1" applyFill="1" applyBorder="1" applyAlignment="1">
      <alignment horizontal="center" vertical="center"/>
    </xf>
    <xf numFmtId="46" fontId="63" fillId="8" borderId="0" xfId="0" applyNumberFormat="1" applyFont="1" applyFill="1" applyBorder="1" applyAlignment="1">
      <alignment horizontal="center" vertical="center"/>
    </xf>
    <xf numFmtId="0" fontId="5" fillId="3" borderId="0" xfId="1" applyFont="1" applyFill="1" applyAlignment="1">
      <alignment horizontal="right"/>
    </xf>
    <xf numFmtId="0" fontId="0" fillId="11" borderId="0" xfId="0" applyFill="1"/>
    <xf numFmtId="0" fontId="0" fillId="2" borderId="0" xfId="0" applyFill="1" applyBorder="1"/>
    <xf numFmtId="0" fontId="0" fillId="2" borderId="0" xfId="0" applyFill="1" applyBorder="1" applyAlignment="1">
      <alignment horizontal="center"/>
    </xf>
    <xf numFmtId="20" fontId="64" fillId="2" borderId="0" xfId="0" applyNumberFormat="1" applyFont="1" applyFill="1" applyBorder="1" applyAlignment="1">
      <alignment horizontal="center" vertical="center"/>
    </xf>
    <xf numFmtId="49" fontId="5" fillId="2" borderId="0" xfId="0" applyNumberFormat="1" applyFont="1" applyFill="1" applyAlignment="1">
      <alignment horizontal="center"/>
    </xf>
    <xf numFmtId="0" fontId="64" fillId="2" borderId="0" xfId="0" applyFont="1" applyFill="1" applyBorder="1" applyAlignment="1">
      <alignment horizontal="center" vertical="center"/>
    </xf>
    <xf numFmtId="0" fontId="64" fillId="2" borderId="0" xfId="0" applyFont="1" applyFill="1" applyBorder="1" applyAlignment="1">
      <alignment vertical="center"/>
    </xf>
    <xf numFmtId="0" fontId="65" fillId="2" borderId="0" xfId="0" applyFont="1" applyFill="1" applyBorder="1"/>
    <xf numFmtId="164" fontId="17" fillId="0" borderId="0" xfId="0" applyNumberFormat="1" applyFont="1" applyAlignment="1">
      <alignment horizontal="center"/>
    </xf>
    <xf numFmtId="49" fontId="66" fillId="6" borderId="0" xfId="1" applyNumberFormat="1" applyFont="1" applyFill="1" applyAlignment="1">
      <alignment horizontal="center"/>
    </xf>
    <xf numFmtId="2" fontId="67" fillId="0" borderId="0" xfId="0" applyNumberFormat="1" applyFont="1" applyAlignment="1">
      <alignment horizontal="center"/>
    </xf>
    <xf numFmtId="0" fontId="12" fillId="0" borderId="18" xfId="0" applyFont="1" applyBorder="1" applyAlignment="1">
      <alignment horizontal="center"/>
    </xf>
    <xf numFmtId="49" fontId="13" fillId="12" borderId="18" xfId="1" applyNumberFormat="1" applyFont="1" applyFill="1" applyBorder="1" applyAlignment="1">
      <alignment horizontal="center"/>
    </xf>
    <xf numFmtId="2" fontId="16" fillId="6" borderId="18" xfId="0" applyNumberFormat="1" applyFont="1" applyFill="1" applyBorder="1" applyAlignment="1">
      <alignment horizontal="center"/>
    </xf>
    <xf numFmtId="2" fontId="16" fillId="6" borderId="0" xfId="0" applyNumberFormat="1" applyFont="1" applyFill="1" applyBorder="1" applyAlignment="1">
      <alignment horizontal="center"/>
    </xf>
    <xf numFmtId="0" fontId="44" fillId="14" borderId="0" xfId="0" applyFont="1" applyFill="1" applyAlignment="1">
      <alignment horizontal="center"/>
    </xf>
    <xf numFmtId="49" fontId="39" fillId="14" borderId="0" xfId="1" applyNumberFormat="1" applyFont="1" applyFill="1" applyBorder="1" applyAlignment="1">
      <alignment horizontal="center"/>
    </xf>
    <xf numFmtId="0" fontId="6" fillId="6" borderId="1" xfId="0" applyFont="1" applyFill="1" applyBorder="1"/>
    <xf numFmtId="0" fontId="68" fillId="0" borderId="0" xfId="0" applyFont="1" applyBorder="1"/>
    <xf numFmtId="0" fontId="68" fillId="0" borderId="0" xfId="0" applyFont="1" applyBorder="1" applyAlignment="1">
      <alignment horizontal="center"/>
    </xf>
    <xf numFmtId="49" fontId="58" fillId="10" borderId="18" xfId="0" applyNumberFormat="1" applyFont="1" applyFill="1" applyBorder="1" applyAlignment="1">
      <alignment horizontal="center"/>
    </xf>
    <xf numFmtId="2" fontId="38" fillId="0" borderId="0" xfId="0" applyNumberFormat="1" applyFont="1"/>
    <xf numFmtId="165" fontId="7" fillId="6" borderId="0" xfId="0" applyNumberFormat="1" applyFont="1" applyFill="1" applyAlignment="1">
      <alignment horizontal="center"/>
    </xf>
    <xf numFmtId="0" fontId="63" fillId="8" borderId="0" xfId="0" applyFont="1" applyFill="1" applyBorder="1" applyAlignment="1">
      <alignment horizontal="left" vertical="center"/>
    </xf>
    <xf numFmtId="0" fontId="63" fillId="17" borderId="0" xfId="0" applyFont="1" applyFill="1" applyBorder="1" applyAlignment="1">
      <alignment horizontal="center" vertical="center"/>
    </xf>
    <xf numFmtId="0" fontId="63" fillId="17" borderId="0" xfId="0" applyFont="1" applyFill="1" applyBorder="1" applyAlignment="1">
      <alignment horizontal="left" vertical="center"/>
    </xf>
    <xf numFmtId="46" fontId="63" fillId="17" borderId="0" xfId="0" applyNumberFormat="1" applyFont="1" applyFill="1" applyBorder="1" applyAlignment="1">
      <alignment horizontal="center" vertical="center"/>
    </xf>
    <xf numFmtId="0" fontId="69" fillId="2" borderId="0" xfId="0" applyFont="1" applyFill="1" applyBorder="1" applyAlignment="1">
      <alignment horizontal="center" vertical="center"/>
    </xf>
    <xf numFmtId="0" fontId="69" fillId="2" borderId="0" xfId="0" applyFont="1" applyFill="1" applyBorder="1" applyAlignment="1">
      <alignment horizontal="left" vertical="center"/>
    </xf>
    <xf numFmtId="0" fontId="40" fillId="2" borderId="0" xfId="0" applyFont="1" applyFill="1" applyBorder="1"/>
    <xf numFmtId="46" fontId="69" fillId="2" borderId="0" xfId="0" applyNumberFormat="1" applyFont="1" applyFill="1" applyBorder="1" applyAlignment="1">
      <alignment horizontal="center" vertical="center"/>
    </xf>
    <xf numFmtId="21" fontId="69" fillId="15" borderId="0" xfId="0" applyNumberFormat="1" applyFont="1" applyFill="1" applyBorder="1" applyAlignment="1">
      <alignment horizontal="center" vertical="center"/>
    </xf>
    <xf numFmtId="20" fontId="63" fillId="8" borderId="0" xfId="0" applyNumberFormat="1" applyFont="1" applyFill="1" applyBorder="1" applyAlignment="1">
      <alignment horizontal="right" vertical="center"/>
    </xf>
    <xf numFmtId="0" fontId="6" fillId="11" borderId="1" xfId="0" applyFont="1" applyFill="1" applyBorder="1"/>
    <xf numFmtId="165" fontId="18" fillId="6" borderId="0" xfId="0" applyNumberFormat="1" applyFont="1" applyFill="1" applyBorder="1" applyAlignment="1">
      <alignment horizontal="center"/>
    </xf>
    <xf numFmtId="0" fontId="36" fillId="6" borderId="8" xfId="0" applyFont="1" applyFill="1" applyBorder="1" applyAlignment="1">
      <alignment horizontal="center"/>
    </xf>
    <xf numFmtId="49" fontId="36" fillId="6" borderId="8" xfId="1" applyNumberFormat="1" applyFont="1" applyFill="1" applyBorder="1" applyAlignment="1">
      <alignment horizontal="center"/>
    </xf>
    <xf numFmtId="49" fontId="36" fillId="6" borderId="8" xfId="0" applyNumberFormat="1" applyFont="1" applyFill="1" applyBorder="1" applyAlignment="1">
      <alignment horizontal="center"/>
    </xf>
    <xf numFmtId="49" fontId="11" fillId="11" borderId="0" xfId="0" applyNumberFormat="1" applyFont="1" applyFill="1" applyBorder="1" applyAlignment="1">
      <alignment horizontal="center"/>
    </xf>
    <xf numFmtId="0" fontId="10" fillId="0" borderId="0" xfId="0" applyFont="1" applyAlignment="1">
      <alignment horizontal="left"/>
    </xf>
    <xf numFmtId="0" fontId="70" fillId="6" borderId="8" xfId="0" applyFont="1" applyFill="1" applyBorder="1" applyAlignment="1">
      <alignment horizontal="left"/>
    </xf>
    <xf numFmtId="49" fontId="8" fillId="6" borderId="8" xfId="0" applyNumberFormat="1" applyFont="1" applyFill="1" applyBorder="1" applyAlignment="1">
      <alignment horizontal="center"/>
    </xf>
    <xf numFmtId="0" fontId="8" fillId="6" borderId="0" xfId="0" applyFont="1" applyFill="1" applyBorder="1" applyAlignment="1">
      <alignment horizontal="right"/>
    </xf>
    <xf numFmtId="0" fontId="71" fillId="0" borderId="0" xfId="0" applyFont="1"/>
    <xf numFmtId="49" fontId="8" fillId="6" borderId="18" xfId="0" applyNumberFormat="1" applyFont="1" applyFill="1" applyBorder="1" applyAlignment="1">
      <alignment horizontal="center"/>
    </xf>
    <xf numFmtId="0" fontId="72" fillId="8" borderId="0" xfId="0" applyFont="1" applyFill="1" applyBorder="1" applyAlignment="1">
      <alignment horizontal="center" vertical="center"/>
    </xf>
    <xf numFmtId="0" fontId="72" fillId="8" borderId="0" xfId="0" applyFont="1" applyFill="1" applyBorder="1" applyAlignment="1">
      <alignment horizontal="left" vertical="center"/>
    </xf>
    <xf numFmtId="0" fontId="73" fillId="0" borderId="0" xfId="0" applyFont="1" applyBorder="1"/>
    <xf numFmtId="0" fontId="73" fillId="0" borderId="0" xfId="0" applyFont="1" applyAlignment="1">
      <alignment horizontal="center"/>
    </xf>
    <xf numFmtId="21" fontId="72" fillId="15" borderId="0" xfId="0" applyNumberFormat="1" applyFont="1" applyFill="1" applyBorder="1" applyAlignment="1">
      <alignment horizontal="center" vertical="center"/>
    </xf>
    <xf numFmtId="0" fontId="73" fillId="0" borderId="0" xfId="0" applyFont="1" applyBorder="1" applyAlignment="1">
      <alignment horizontal="center"/>
    </xf>
    <xf numFmtId="20" fontId="72" fillId="8" borderId="0" xfId="0" applyNumberFormat="1" applyFont="1" applyFill="1" applyBorder="1" applyAlignment="1">
      <alignment horizontal="left" vertical="center"/>
    </xf>
    <xf numFmtId="46" fontId="72" fillId="8" borderId="0" xfId="0" applyNumberFormat="1" applyFont="1" applyFill="1" applyBorder="1" applyAlignment="1">
      <alignment horizontal="left" vertical="center"/>
    </xf>
    <xf numFmtId="0" fontId="74" fillId="2" borderId="0" xfId="0" applyFont="1" applyFill="1" applyBorder="1" applyAlignment="1">
      <alignment horizontal="center" vertical="center"/>
    </xf>
    <xf numFmtId="0" fontId="74" fillId="2" borderId="0" xfId="0" applyFont="1" applyFill="1" applyBorder="1" applyAlignment="1">
      <alignment horizontal="left" vertical="center"/>
    </xf>
    <xf numFmtId="0" fontId="75" fillId="2" borderId="0" xfId="0" applyFont="1" applyFill="1" applyBorder="1"/>
    <xf numFmtId="0" fontId="75" fillId="2" borderId="0" xfId="0" applyFont="1" applyFill="1" applyAlignment="1">
      <alignment horizontal="center"/>
    </xf>
    <xf numFmtId="21" fontId="74" fillId="15" borderId="0" xfId="0" applyNumberFormat="1" applyFont="1" applyFill="1" applyBorder="1" applyAlignment="1">
      <alignment horizontal="center" vertical="center"/>
    </xf>
    <xf numFmtId="46" fontId="74" fillId="2" borderId="0" xfId="0" applyNumberFormat="1" applyFont="1" applyFill="1" applyBorder="1" applyAlignment="1">
      <alignment horizontal="left" vertical="center"/>
    </xf>
    <xf numFmtId="0" fontId="72" fillId="6" borderId="0" xfId="0" applyFont="1" applyFill="1" applyBorder="1" applyAlignment="1">
      <alignment horizontal="center" vertical="center"/>
    </xf>
    <xf numFmtId="0" fontId="72" fillId="6" borderId="0" xfId="0" applyFont="1" applyFill="1" applyBorder="1" applyAlignment="1">
      <alignment horizontal="left" vertical="center"/>
    </xf>
    <xf numFmtId="0" fontId="73" fillId="6" borderId="0" xfId="0" applyFont="1" applyFill="1" applyBorder="1"/>
    <xf numFmtId="0" fontId="73" fillId="6" borderId="0" xfId="0" applyFont="1" applyFill="1" applyAlignment="1">
      <alignment horizontal="center"/>
    </xf>
    <xf numFmtId="46" fontId="72" fillId="6" borderId="0" xfId="0" applyNumberFormat="1" applyFont="1" applyFill="1" applyBorder="1" applyAlignment="1">
      <alignment horizontal="left" vertical="center"/>
    </xf>
    <xf numFmtId="0" fontId="72" fillId="8" borderId="0" xfId="0" applyFont="1" applyFill="1" applyBorder="1" applyAlignment="1">
      <alignment vertical="center"/>
    </xf>
    <xf numFmtId="0" fontId="73" fillId="6" borderId="0" xfId="0" applyFont="1" applyFill="1" applyBorder="1" applyAlignment="1">
      <alignment horizontal="center"/>
    </xf>
    <xf numFmtId="1" fontId="67" fillId="0" borderId="0" xfId="0" applyNumberFormat="1" applyFont="1" applyAlignment="1">
      <alignment horizontal="center"/>
    </xf>
    <xf numFmtId="0" fontId="67" fillId="6" borderId="0" xfId="0" applyFont="1" applyFill="1" applyAlignment="1">
      <alignment horizontal="center"/>
    </xf>
    <xf numFmtId="2" fontId="67" fillId="6" borderId="0" xfId="0" applyNumberFormat="1" applyFont="1" applyFill="1" applyAlignment="1">
      <alignment horizontal="center"/>
    </xf>
    <xf numFmtId="49" fontId="50" fillId="6" borderId="0" xfId="1" applyNumberFormat="1" applyFont="1" applyFill="1" applyAlignment="1">
      <alignment horizontal="center"/>
    </xf>
    <xf numFmtId="0" fontId="38" fillId="6" borderId="0" xfId="0" applyFont="1" applyFill="1"/>
    <xf numFmtId="0" fontId="67" fillId="0" borderId="0" xfId="0" applyFont="1" applyAlignment="1">
      <alignment horizontal="center"/>
    </xf>
    <xf numFmtId="164" fontId="76" fillId="0" borderId="0" xfId="0" applyNumberFormat="1" applyFont="1" applyAlignment="1">
      <alignment horizontal="center"/>
    </xf>
    <xf numFmtId="49" fontId="59" fillId="6" borderId="0" xfId="1" applyNumberFormat="1" applyFont="1" applyFill="1" applyAlignment="1">
      <alignment horizontal="center"/>
    </xf>
    <xf numFmtId="2" fontId="67" fillId="6" borderId="8" xfId="0" applyNumberFormat="1" applyFont="1" applyFill="1" applyBorder="1" applyAlignment="1">
      <alignment horizontal="center"/>
    </xf>
    <xf numFmtId="0" fontId="61" fillId="6" borderId="14" xfId="0" applyFont="1" applyFill="1" applyBorder="1" applyAlignment="1">
      <alignment horizontal="center"/>
    </xf>
    <xf numFmtId="0" fontId="61" fillId="6" borderId="24" xfId="0" applyFont="1" applyFill="1" applyBorder="1" applyAlignment="1">
      <alignment horizontal="center"/>
    </xf>
    <xf numFmtId="2" fontId="31" fillId="14" borderId="28" xfId="0" applyNumberFormat="1" applyFont="1" applyFill="1" applyBorder="1" applyAlignment="1">
      <alignment horizontal="center"/>
    </xf>
    <xf numFmtId="2" fontId="31" fillId="0" borderId="24" xfId="0" applyNumberFormat="1" applyFont="1" applyBorder="1" applyAlignment="1">
      <alignment horizontal="center"/>
    </xf>
    <xf numFmtId="0" fontId="7" fillId="0" borderId="24" xfId="0" applyFont="1" applyBorder="1" applyAlignment="1">
      <alignment horizontal="center"/>
    </xf>
    <xf numFmtId="0" fontId="31" fillId="14" borderId="28" xfId="0" applyFont="1" applyFill="1" applyBorder="1" applyAlignment="1">
      <alignment horizontal="center"/>
    </xf>
    <xf numFmtId="49" fontId="31" fillId="0" borderId="24" xfId="0" applyNumberFormat="1" applyFont="1" applyBorder="1" applyAlignment="1">
      <alignment horizontal="center"/>
    </xf>
    <xf numFmtId="0" fontId="0" fillId="0" borderId="24" xfId="0" applyBorder="1" applyAlignment="1">
      <alignment horizontal="right"/>
    </xf>
    <xf numFmtId="0" fontId="27" fillId="0" borderId="0" xfId="0" applyFont="1" applyAlignment="1">
      <alignment horizontal="left"/>
    </xf>
    <xf numFmtId="0" fontId="70" fillId="6" borderId="0" xfId="0" applyFont="1" applyFill="1" applyBorder="1" applyAlignment="1">
      <alignment horizontal="left"/>
    </xf>
    <xf numFmtId="2" fontId="10" fillId="6" borderId="0" xfId="0" applyNumberFormat="1" applyFont="1" applyFill="1" applyAlignment="1">
      <alignment horizontal="left"/>
    </xf>
    <xf numFmtId="0" fontId="36" fillId="0" borderId="0" xfId="0" applyFont="1"/>
    <xf numFmtId="0" fontId="12" fillId="12" borderId="3" xfId="0" applyFont="1" applyFill="1" applyBorder="1" applyAlignment="1">
      <alignment horizontal="center"/>
    </xf>
    <xf numFmtId="0" fontId="27" fillId="6" borderId="0" xfId="0" applyFont="1" applyFill="1"/>
    <xf numFmtId="49" fontId="41" fillId="6" borderId="0" xfId="0" applyNumberFormat="1" applyFont="1" applyFill="1" applyBorder="1" applyAlignment="1">
      <alignment horizontal="center"/>
    </xf>
    <xf numFmtId="0" fontId="12" fillId="12" borderId="0" xfId="0" applyFont="1" applyFill="1" applyBorder="1" applyAlignment="1">
      <alignment horizontal="center"/>
    </xf>
    <xf numFmtId="49" fontId="8" fillId="6" borderId="18" xfId="1" applyNumberFormat="1" applyFont="1" applyFill="1" applyBorder="1" applyAlignment="1">
      <alignment horizontal="center"/>
    </xf>
    <xf numFmtId="0" fontId="8" fillId="6" borderId="0" xfId="0" applyFont="1" applyFill="1" applyBorder="1" applyAlignment="1">
      <alignment horizontal="center"/>
    </xf>
    <xf numFmtId="0" fontId="8" fillId="12" borderId="18" xfId="0" applyFont="1" applyFill="1" applyBorder="1" applyAlignment="1">
      <alignment horizontal="center"/>
    </xf>
    <xf numFmtId="0" fontId="8" fillId="6" borderId="18" xfId="0" applyFont="1" applyFill="1" applyBorder="1" applyAlignment="1">
      <alignment horizontal="center"/>
    </xf>
    <xf numFmtId="0" fontId="20" fillId="6" borderId="18" xfId="0" applyFont="1" applyFill="1" applyBorder="1" applyAlignment="1">
      <alignment horizontal="center"/>
    </xf>
    <xf numFmtId="0" fontId="8" fillId="12" borderId="0" xfId="0" applyFont="1" applyFill="1" applyBorder="1" applyAlignment="1">
      <alignment horizontal="center"/>
    </xf>
    <xf numFmtId="0" fontId="20" fillId="6" borderId="0" xfId="0" applyFont="1" applyFill="1" applyBorder="1" applyAlignment="1">
      <alignment horizontal="center"/>
    </xf>
    <xf numFmtId="0" fontId="8" fillId="7" borderId="0" xfId="0" applyFont="1" applyFill="1" applyBorder="1" applyAlignment="1">
      <alignment horizontal="center"/>
    </xf>
    <xf numFmtId="0" fontId="52" fillId="6" borderId="0" xfId="0" applyFont="1" applyFill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8" fillId="5" borderId="0" xfId="0" applyFont="1" applyFill="1" applyBorder="1" applyAlignment="1">
      <alignment horizontal="center"/>
    </xf>
    <xf numFmtId="0" fontId="16" fillId="6" borderId="0" xfId="0" applyFont="1" applyFill="1" applyBorder="1" applyAlignment="1">
      <alignment horizontal="center"/>
    </xf>
    <xf numFmtId="2" fontId="19" fillId="0" borderId="0" xfId="0" applyNumberFormat="1" applyFont="1" applyBorder="1" applyAlignment="1">
      <alignment horizontal="center"/>
    </xf>
    <xf numFmtId="1" fontId="19" fillId="0" borderId="0" xfId="0" applyNumberFormat="1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49" fontId="12" fillId="0" borderId="6" xfId="1" applyNumberFormat="1" applyFont="1" applyFill="1" applyBorder="1" applyAlignment="1">
      <alignment horizontal="center"/>
    </xf>
    <xf numFmtId="49" fontId="13" fillId="12" borderId="6" xfId="1" applyNumberFormat="1" applyFont="1" applyFill="1" applyBorder="1" applyAlignment="1">
      <alignment horizontal="center"/>
    </xf>
    <xf numFmtId="49" fontId="8" fillId="6" borderId="7" xfId="0" applyNumberFormat="1" applyFont="1" applyFill="1" applyBorder="1" applyAlignment="1">
      <alignment horizontal="center"/>
    </xf>
    <xf numFmtId="0" fontId="0" fillId="14" borderId="0" xfId="0" applyFill="1" applyBorder="1" applyAlignment="1">
      <alignment horizontal="center"/>
    </xf>
    <xf numFmtId="0" fontId="19" fillId="6" borderId="0" xfId="0" applyFont="1" applyFill="1" applyBorder="1" applyAlignment="1">
      <alignment horizontal="center"/>
    </xf>
    <xf numFmtId="49" fontId="14" fillId="7" borderId="0" xfId="1" applyNumberFormat="1" applyFont="1" applyFill="1" applyBorder="1" applyAlignment="1">
      <alignment horizontal="center"/>
    </xf>
    <xf numFmtId="2" fontId="19" fillId="6" borderId="0" xfId="0" applyNumberFormat="1" applyFont="1" applyFill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78" fillId="0" borderId="0" xfId="2" applyAlignment="1" applyProtection="1"/>
    <xf numFmtId="0" fontId="63" fillId="8" borderId="32" xfId="0" applyFont="1" applyFill="1" applyBorder="1" applyAlignment="1">
      <alignment horizontal="center" vertical="center"/>
    </xf>
    <xf numFmtId="0" fontId="63" fillId="8" borderId="32" xfId="0" applyFont="1" applyFill="1" applyBorder="1" applyAlignment="1">
      <alignment horizontal="left" vertical="center"/>
    </xf>
    <xf numFmtId="0" fontId="63" fillId="8" borderId="33" xfId="0" applyFont="1" applyFill="1" applyBorder="1" applyAlignment="1">
      <alignment horizontal="center" vertical="center"/>
    </xf>
    <xf numFmtId="0" fontId="63" fillId="8" borderId="34" xfId="0" applyFont="1" applyFill="1" applyBorder="1" applyAlignment="1">
      <alignment horizontal="center" vertical="center"/>
    </xf>
    <xf numFmtId="0" fontId="63" fillId="8" borderId="34" xfId="0" applyFont="1" applyFill="1" applyBorder="1" applyAlignment="1">
      <alignment horizontal="left" vertical="center"/>
    </xf>
    <xf numFmtId="0" fontId="63" fillId="8" borderId="35" xfId="0" applyFont="1" applyFill="1" applyBorder="1" applyAlignment="1">
      <alignment horizontal="center" vertical="center"/>
    </xf>
    <xf numFmtId="0" fontId="63" fillId="8" borderId="36" xfId="0" applyFont="1" applyFill="1" applyBorder="1" applyAlignment="1">
      <alignment horizontal="center" vertical="center"/>
    </xf>
    <xf numFmtId="20" fontId="63" fillId="8" borderId="37" xfId="0" applyNumberFormat="1" applyFont="1" applyFill="1" applyBorder="1" applyAlignment="1">
      <alignment horizontal="center" vertical="center"/>
    </xf>
    <xf numFmtId="46" fontId="63" fillId="8" borderId="37" xfId="0" applyNumberFormat="1" applyFont="1" applyFill="1" applyBorder="1" applyAlignment="1">
      <alignment horizontal="center" vertical="center"/>
    </xf>
    <xf numFmtId="0" fontId="63" fillId="8" borderId="38" xfId="0" applyFont="1" applyFill="1" applyBorder="1" applyAlignment="1">
      <alignment horizontal="center" vertical="center"/>
    </xf>
    <xf numFmtId="0" fontId="63" fillId="8" borderId="39" xfId="0" applyFont="1" applyFill="1" applyBorder="1" applyAlignment="1">
      <alignment horizontal="center" vertical="center"/>
    </xf>
    <xf numFmtId="0" fontId="63" fillId="8" borderId="39" xfId="0" applyFont="1" applyFill="1" applyBorder="1" applyAlignment="1">
      <alignment horizontal="left" vertical="center"/>
    </xf>
    <xf numFmtId="46" fontId="63" fillId="8" borderId="40" xfId="0" applyNumberFormat="1" applyFont="1" applyFill="1" applyBorder="1" applyAlignment="1">
      <alignment horizontal="center" vertical="center"/>
    </xf>
    <xf numFmtId="21" fontId="63" fillId="15" borderId="34" xfId="0" applyNumberFormat="1" applyFont="1" applyFill="1" applyBorder="1" applyAlignment="1">
      <alignment horizontal="center" vertical="center"/>
    </xf>
    <xf numFmtId="21" fontId="63" fillId="15" borderId="32" xfId="0" applyNumberFormat="1" applyFont="1" applyFill="1" applyBorder="1" applyAlignment="1">
      <alignment horizontal="center" vertical="center"/>
    </xf>
    <xf numFmtId="21" fontId="63" fillId="15" borderId="39" xfId="0" applyNumberFormat="1" applyFont="1" applyFill="1" applyBorder="1" applyAlignment="1">
      <alignment horizontal="center" vertical="center"/>
    </xf>
    <xf numFmtId="0" fontId="5" fillId="6" borderId="0" xfId="1" applyFont="1" applyFill="1" applyAlignment="1">
      <alignment horizontal="right"/>
    </xf>
    <xf numFmtId="49" fontId="5" fillId="6" borderId="0" xfId="1" applyNumberFormat="1" applyFont="1" applyFill="1" applyAlignment="1">
      <alignment horizontal="center"/>
    </xf>
    <xf numFmtId="0" fontId="5" fillId="9" borderId="0" xfId="1" applyFont="1" applyFill="1" applyAlignment="1">
      <alignment horizontal="right"/>
    </xf>
    <xf numFmtId="49" fontId="5" fillId="9" borderId="0" xfId="1" applyNumberFormat="1" applyFont="1" applyFill="1" applyAlignment="1">
      <alignment horizontal="center"/>
    </xf>
    <xf numFmtId="0" fontId="64" fillId="2" borderId="36" xfId="0" applyFont="1" applyFill="1" applyBorder="1" applyAlignment="1">
      <alignment horizontal="center" vertical="center"/>
    </xf>
    <xf numFmtId="0" fontId="64" fillId="2" borderId="32" xfId="0" applyFont="1" applyFill="1" applyBorder="1" applyAlignment="1">
      <alignment horizontal="center" vertical="center"/>
    </xf>
    <xf numFmtId="0" fontId="65" fillId="2" borderId="0" xfId="0" applyFont="1" applyFill="1"/>
    <xf numFmtId="0" fontId="64" fillId="2" borderId="32" xfId="0" applyFont="1" applyFill="1" applyBorder="1" applyAlignment="1">
      <alignment horizontal="left" vertical="center"/>
    </xf>
    <xf numFmtId="21" fontId="64" fillId="15" borderId="32" xfId="0" applyNumberFormat="1" applyFont="1" applyFill="1" applyBorder="1" applyAlignment="1">
      <alignment horizontal="center" vertical="center"/>
    </xf>
    <xf numFmtId="20" fontId="64" fillId="2" borderId="37" xfId="0" applyNumberFormat="1" applyFont="1" applyFill="1" applyBorder="1" applyAlignment="1">
      <alignment horizontal="center" vertical="center"/>
    </xf>
    <xf numFmtId="0" fontId="79" fillId="0" borderId="0" xfId="0" applyFont="1" applyAlignment="1">
      <alignment horizontal="center"/>
    </xf>
    <xf numFmtId="0" fontId="0" fillId="13" borderId="42" xfId="0" applyFill="1" applyBorder="1"/>
    <xf numFmtId="0" fontId="77" fillId="13" borderId="43" xfId="0" applyFont="1" applyFill="1" applyBorder="1" applyAlignment="1">
      <alignment horizontal="left"/>
    </xf>
    <xf numFmtId="0" fontId="0" fillId="13" borderId="43" xfId="0" applyFill="1" applyBorder="1"/>
    <xf numFmtId="0" fontId="0" fillId="13" borderId="43" xfId="0" applyFill="1" applyBorder="1" applyAlignment="1">
      <alignment horizontal="center"/>
    </xf>
    <xf numFmtId="0" fontId="0" fillId="13" borderId="44" xfId="0" applyFill="1" applyBorder="1" applyAlignment="1">
      <alignment horizontal="center"/>
    </xf>
    <xf numFmtId="49" fontId="8" fillId="11" borderId="0" xfId="1" applyNumberFormat="1" applyFont="1" applyFill="1" applyBorder="1" applyAlignment="1">
      <alignment horizontal="center"/>
    </xf>
    <xf numFmtId="49" fontId="61" fillId="6" borderId="12" xfId="0" applyNumberFormat="1" applyFont="1" applyFill="1" applyBorder="1" applyAlignment="1">
      <alignment horizontal="center"/>
    </xf>
    <xf numFmtId="49" fontId="36" fillId="6" borderId="0" xfId="0" applyNumberFormat="1" applyFont="1" applyFill="1" applyAlignment="1">
      <alignment horizontal="center"/>
    </xf>
    <xf numFmtId="0" fontId="61" fillId="6" borderId="11" xfId="0" applyFont="1" applyFill="1" applyBorder="1" applyAlignment="1">
      <alignment horizontal="center"/>
    </xf>
    <xf numFmtId="49" fontId="61" fillId="6" borderId="12" xfId="1" applyNumberFormat="1" applyFont="1" applyFill="1" applyBorder="1" applyAlignment="1">
      <alignment horizontal="center"/>
    </xf>
    <xf numFmtId="2" fontId="62" fillId="6" borderId="12" xfId="0" applyNumberFormat="1" applyFont="1" applyFill="1" applyBorder="1" applyAlignment="1">
      <alignment horizontal="center"/>
    </xf>
    <xf numFmtId="0" fontId="61" fillId="6" borderId="13" xfId="0" applyFont="1" applyFill="1" applyBorder="1" applyAlignment="1">
      <alignment horizontal="center"/>
    </xf>
    <xf numFmtId="0" fontId="53" fillId="6" borderId="0" xfId="0" applyFont="1" applyFill="1" applyBorder="1" applyAlignment="1">
      <alignment horizontal="center" readingOrder="1"/>
    </xf>
    <xf numFmtId="49" fontId="39" fillId="13" borderId="0" xfId="0" applyNumberFormat="1" applyFont="1" applyFill="1" applyAlignment="1">
      <alignment horizontal="center"/>
    </xf>
    <xf numFmtId="0" fontId="28" fillId="13" borderId="0" xfId="0" applyFont="1" applyFill="1" applyAlignment="1">
      <alignment horizontal="center"/>
    </xf>
    <xf numFmtId="0" fontId="44" fillId="13" borderId="0" xfId="0" applyFont="1" applyFill="1" applyAlignment="1">
      <alignment horizontal="left"/>
    </xf>
    <xf numFmtId="0" fontId="28" fillId="13" borderId="0" xfId="0" applyFont="1" applyFill="1"/>
    <xf numFmtId="49" fontId="12" fillId="6" borderId="0" xfId="1" applyNumberFormat="1" applyFont="1" applyFill="1" applyBorder="1" applyAlignment="1">
      <alignment horizontal="left"/>
    </xf>
    <xf numFmtId="49" fontId="12" fillId="6" borderId="0" xfId="1" applyNumberFormat="1" applyFont="1" applyFill="1" applyAlignment="1">
      <alignment horizontal="left"/>
    </xf>
    <xf numFmtId="2" fontId="66" fillId="0" borderId="0" xfId="0" applyNumberFormat="1" applyFont="1" applyAlignment="1">
      <alignment horizontal="center"/>
    </xf>
    <xf numFmtId="49" fontId="8" fillId="0" borderId="6" xfId="1" applyNumberFormat="1" applyFont="1" applyFill="1" applyBorder="1" applyAlignment="1">
      <alignment horizontal="center"/>
    </xf>
    <xf numFmtId="49" fontId="12" fillId="6" borderId="7" xfId="0" applyNumberFormat="1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2" fontId="17" fillId="0" borderId="0" xfId="0" applyNumberFormat="1" applyFont="1" applyAlignment="1">
      <alignment horizontal="center"/>
    </xf>
    <xf numFmtId="49" fontId="12" fillId="0" borderId="5" xfId="1" applyNumberFormat="1" applyFont="1" applyFill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5" borderId="6" xfId="0" applyFont="1" applyFill="1" applyBorder="1" applyAlignment="1">
      <alignment horizontal="center"/>
    </xf>
    <xf numFmtId="0" fontId="12" fillId="6" borderId="7" xfId="0" applyFont="1" applyFill="1" applyBorder="1" applyAlignment="1">
      <alignment horizontal="center"/>
    </xf>
    <xf numFmtId="0" fontId="20" fillId="6" borderId="9" xfId="0" applyFont="1" applyFill="1" applyBorder="1" applyAlignment="1">
      <alignment horizontal="center"/>
    </xf>
    <xf numFmtId="0" fontId="80" fillId="6" borderId="0" xfId="0" applyFont="1" applyFill="1" applyAlignment="1">
      <alignment horizontal="center"/>
    </xf>
    <xf numFmtId="49" fontId="81" fillId="0" borderId="0" xfId="1" applyNumberFormat="1" applyFont="1" applyFill="1" applyAlignment="1">
      <alignment horizontal="left"/>
    </xf>
    <xf numFmtId="49" fontId="80" fillId="6" borderId="0" xfId="0" applyNumberFormat="1" applyFont="1" applyFill="1" applyAlignment="1">
      <alignment horizontal="center"/>
    </xf>
    <xf numFmtId="0" fontId="80" fillId="6" borderId="0" xfId="0" applyFont="1" applyFill="1" applyBorder="1" applyAlignment="1">
      <alignment horizontal="center"/>
    </xf>
    <xf numFmtId="49" fontId="81" fillId="0" borderId="0" xfId="1" applyNumberFormat="1" applyFont="1" applyFill="1" applyBorder="1" applyAlignment="1">
      <alignment horizontal="left"/>
    </xf>
    <xf numFmtId="49" fontId="80" fillId="6" borderId="0" xfId="0" applyNumberFormat="1" applyFont="1" applyFill="1" applyBorder="1" applyAlignment="1">
      <alignment horizontal="center"/>
    </xf>
    <xf numFmtId="49" fontId="35" fillId="0" borderId="0" xfId="0" applyNumberFormat="1" applyFont="1" applyAlignment="1">
      <alignment horizontal="left"/>
    </xf>
    <xf numFmtId="0" fontId="36" fillId="15" borderId="12" xfId="0" applyFont="1" applyFill="1" applyBorder="1" applyAlignment="1">
      <alignment horizontal="right" wrapText="1"/>
    </xf>
    <xf numFmtId="0" fontId="0" fillId="5" borderId="0" xfId="0" applyFill="1"/>
    <xf numFmtId="0" fontId="63" fillId="5" borderId="36" xfId="0" applyFont="1" applyFill="1" applyBorder="1" applyAlignment="1">
      <alignment horizontal="center" vertical="center"/>
    </xf>
    <xf numFmtId="0" fontId="63" fillId="5" borderId="32" xfId="0" applyFont="1" applyFill="1" applyBorder="1" applyAlignment="1">
      <alignment horizontal="center" vertical="center"/>
    </xf>
    <xf numFmtId="0" fontId="63" fillId="5" borderId="32" xfId="0" applyFont="1" applyFill="1" applyBorder="1" applyAlignment="1">
      <alignment horizontal="left" vertical="center"/>
    </xf>
    <xf numFmtId="0" fontId="0" fillId="5" borderId="0" xfId="0" applyFill="1" applyAlignment="1">
      <alignment horizontal="center"/>
    </xf>
    <xf numFmtId="46" fontId="63" fillId="5" borderId="37" xfId="0" applyNumberFormat="1" applyFont="1" applyFill="1" applyBorder="1" applyAlignment="1">
      <alignment horizontal="center" vertical="center"/>
    </xf>
    <xf numFmtId="0" fontId="63" fillId="6" borderId="0" xfId="0" applyFont="1" applyFill="1" applyBorder="1" applyAlignment="1">
      <alignment horizontal="center" vertical="center"/>
    </xf>
    <xf numFmtId="0" fontId="63" fillId="6" borderId="0" xfId="0" applyFont="1" applyFill="1" applyBorder="1" applyAlignment="1">
      <alignment horizontal="left" vertical="center"/>
    </xf>
    <xf numFmtId="46" fontId="63" fillId="6" borderId="0" xfId="0" applyNumberFormat="1" applyFont="1" applyFill="1" applyBorder="1" applyAlignment="1">
      <alignment horizontal="center" vertical="center"/>
    </xf>
    <xf numFmtId="0" fontId="63" fillId="17" borderId="32" xfId="0" applyFont="1" applyFill="1" applyBorder="1" applyAlignment="1">
      <alignment horizontal="center" vertical="center"/>
    </xf>
    <xf numFmtId="0" fontId="63" fillId="17" borderId="36" xfId="0" applyFont="1" applyFill="1" applyBorder="1" applyAlignment="1">
      <alignment horizontal="center" vertical="center"/>
    </xf>
    <xf numFmtId="20" fontId="63" fillId="17" borderId="37" xfId="0" applyNumberFormat="1" applyFont="1" applyFill="1" applyBorder="1" applyAlignment="1">
      <alignment horizontal="center" vertical="center"/>
    </xf>
    <xf numFmtId="0" fontId="40" fillId="2" borderId="0" xfId="0" applyFont="1" applyFill="1"/>
    <xf numFmtId="0" fontId="63" fillId="17" borderId="32" xfId="0" applyFont="1" applyFill="1" applyBorder="1" applyAlignment="1">
      <alignment horizontal="left" vertical="center"/>
    </xf>
    <xf numFmtId="0" fontId="65" fillId="6" borderId="0" xfId="0" applyFont="1" applyFill="1" applyAlignment="1">
      <alignment horizontal="center"/>
    </xf>
    <xf numFmtId="0" fontId="6" fillId="6" borderId="0" xfId="0" applyFont="1" applyFill="1" applyAlignment="1">
      <alignment horizontal="center"/>
    </xf>
    <xf numFmtId="0" fontId="6" fillId="6" borderId="0" xfId="0" applyFont="1" applyFill="1"/>
    <xf numFmtId="0" fontId="65" fillId="6" borderId="0" xfId="0" applyFont="1" applyFill="1"/>
    <xf numFmtId="49" fontId="0" fillId="2" borderId="0" xfId="0" applyNumberFormat="1" applyFill="1" applyAlignment="1">
      <alignment horizontal="center"/>
    </xf>
    <xf numFmtId="0" fontId="40" fillId="7" borderId="0" xfId="0" applyFont="1" applyFill="1"/>
    <xf numFmtId="1" fontId="19" fillId="0" borderId="0" xfId="0" applyNumberFormat="1" applyFont="1" applyAlignment="1">
      <alignment horizontal="left"/>
    </xf>
    <xf numFmtId="2" fontId="19" fillId="0" borderId="0" xfId="0" applyNumberFormat="1" applyFont="1" applyAlignment="1">
      <alignment horizontal="left"/>
    </xf>
    <xf numFmtId="49" fontId="82" fillId="7" borderId="0" xfId="1" applyNumberFormat="1" applyFont="1" applyFill="1" applyAlignment="1">
      <alignment horizontal="center"/>
    </xf>
    <xf numFmtId="0" fontId="20" fillId="0" borderId="1" xfId="0" applyFont="1" applyBorder="1" applyAlignment="1">
      <alignment horizontal="center"/>
    </xf>
    <xf numFmtId="49" fontId="39" fillId="6" borderId="0" xfId="0" applyNumberFormat="1" applyFont="1" applyFill="1" applyAlignment="1">
      <alignment horizontal="center"/>
    </xf>
    <xf numFmtId="0" fontId="28" fillId="6" borderId="0" xfId="0" applyFont="1" applyFill="1" applyAlignment="1">
      <alignment horizontal="center"/>
    </xf>
    <xf numFmtId="49" fontId="12" fillId="6" borderId="2" xfId="1" applyNumberFormat="1" applyFont="1" applyFill="1" applyBorder="1" applyAlignment="1">
      <alignment horizontal="center"/>
    </xf>
    <xf numFmtId="0" fontId="12" fillId="6" borderId="3" xfId="0" applyFont="1" applyFill="1" applyBorder="1" applyAlignment="1">
      <alignment horizontal="center"/>
    </xf>
    <xf numFmtId="1" fontId="18" fillId="0" borderId="0" xfId="0" applyNumberFormat="1" applyFont="1" applyAlignment="1">
      <alignment horizontal="center"/>
    </xf>
    <xf numFmtId="49" fontId="30" fillId="6" borderId="0" xfId="1" applyNumberFormat="1" applyFont="1" applyFill="1" applyAlignment="1">
      <alignment horizontal="center"/>
    </xf>
    <xf numFmtId="2" fontId="18" fillId="0" borderId="0" xfId="0" applyNumberFormat="1" applyFont="1" applyBorder="1" applyAlignment="1">
      <alignment horizontal="center"/>
    </xf>
    <xf numFmtId="2" fontId="18" fillId="6" borderId="0" xfId="0" applyNumberFormat="1" applyFont="1" applyFill="1" applyAlignment="1">
      <alignment horizontal="center"/>
    </xf>
    <xf numFmtId="49" fontId="84" fillId="6" borderId="0" xfId="1" applyNumberFormat="1" applyFont="1" applyFill="1" applyAlignment="1">
      <alignment horizontal="center"/>
    </xf>
    <xf numFmtId="0" fontId="55" fillId="0" borderId="0" xfId="0" applyFont="1" applyAlignment="1">
      <alignment horizontal="right" vertical="center"/>
    </xf>
    <xf numFmtId="0" fontId="20" fillId="6" borderId="45" xfId="0" applyFont="1" applyFill="1" applyBorder="1" applyAlignment="1">
      <alignment horizontal="center"/>
    </xf>
    <xf numFmtId="0" fontId="20" fillId="0" borderId="0" xfId="0" applyFont="1" applyBorder="1" applyAlignment="1">
      <alignment horizontal="center"/>
    </xf>
    <xf numFmtId="0" fontId="6" fillId="6" borderId="0" xfId="0" applyFont="1" applyFill="1" applyBorder="1"/>
    <xf numFmtId="0" fontId="0" fillId="6" borderId="0" xfId="0" applyFill="1" applyBorder="1" applyAlignment="1">
      <alignment horizontal="center"/>
    </xf>
    <xf numFmtId="0" fontId="35" fillId="0" borderId="0" xfId="0" applyFont="1" applyAlignment="1">
      <alignment horizontal="center"/>
    </xf>
    <xf numFmtId="0" fontId="18" fillId="0" borderId="0" xfId="0" applyFont="1" applyBorder="1" applyAlignment="1">
      <alignment horizontal="center"/>
    </xf>
    <xf numFmtId="49" fontId="31" fillId="0" borderId="0" xfId="1" applyNumberFormat="1" applyFont="1" applyAlignment="1">
      <alignment horizontal="center"/>
    </xf>
    <xf numFmtId="0" fontId="85" fillId="0" borderId="0" xfId="0" applyFont="1"/>
    <xf numFmtId="49" fontId="36" fillId="6" borderId="0" xfId="1" applyNumberFormat="1" applyFont="1" applyFill="1" applyBorder="1" applyAlignment="1">
      <alignment horizontal="left"/>
    </xf>
    <xf numFmtId="49" fontId="14" fillId="6" borderId="0" xfId="1" applyNumberFormat="1" applyFont="1" applyFill="1" applyBorder="1" applyAlignment="1">
      <alignment horizontal="center"/>
    </xf>
    <xf numFmtId="49" fontId="14" fillId="6" borderId="2" xfId="1" applyNumberFormat="1" applyFont="1" applyFill="1" applyBorder="1" applyAlignment="1">
      <alignment horizontal="center"/>
    </xf>
    <xf numFmtId="49" fontId="14" fillId="6" borderId="3" xfId="1" applyNumberFormat="1" applyFont="1" applyFill="1" applyBorder="1" applyAlignment="1">
      <alignment horizontal="center"/>
    </xf>
    <xf numFmtId="49" fontId="14" fillId="6" borderId="4" xfId="1" applyNumberFormat="1" applyFont="1" applyFill="1" applyBorder="1" applyAlignment="1">
      <alignment horizontal="center"/>
    </xf>
    <xf numFmtId="0" fontId="86" fillId="0" borderId="0" xfId="0" applyFont="1" applyAlignment="1">
      <alignment horizontal="left"/>
    </xf>
    <xf numFmtId="0" fontId="40" fillId="0" borderId="0" xfId="0" applyFont="1"/>
    <xf numFmtId="0" fontId="85" fillId="0" borderId="0" xfId="0" applyFont="1" applyAlignment="1">
      <alignment horizontal="center"/>
    </xf>
    <xf numFmtId="2" fontId="87" fillId="0" borderId="0" xfId="0" applyNumberFormat="1" applyFont="1"/>
    <xf numFmtId="0" fontId="85" fillId="0" borderId="0" xfId="0" applyFont="1" applyAlignment="1">
      <alignment horizontal="left"/>
    </xf>
    <xf numFmtId="49" fontId="88" fillId="6" borderId="0" xfId="1" applyNumberFormat="1" applyFont="1" applyFill="1" applyBorder="1" applyAlignment="1">
      <alignment horizontal="left"/>
    </xf>
    <xf numFmtId="49" fontId="88" fillId="0" borderId="0" xfId="1" applyNumberFormat="1" applyFont="1" applyFill="1" applyBorder="1" applyAlignment="1">
      <alignment horizontal="left"/>
    </xf>
    <xf numFmtId="47" fontId="85" fillId="0" borderId="0" xfId="0" applyNumberFormat="1" applyFont="1" applyBorder="1" applyAlignment="1">
      <alignment horizontal="center"/>
    </xf>
    <xf numFmtId="0" fontId="85" fillId="0" borderId="0" xfId="0" applyFont="1" applyBorder="1" applyAlignment="1">
      <alignment horizontal="center"/>
    </xf>
    <xf numFmtId="0" fontId="85" fillId="6" borderId="0" xfId="0" applyFont="1" applyFill="1" applyAlignment="1">
      <alignment horizontal="center"/>
    </xf>
    <xf numFmtId="0" fontId="85" fillId="6" borderId="0" xfId="0" applyFont="1" applyFill="1"/>
    <xf numFmtId="0" fontId="90" fillId="16" borderId="0" xfId="0" applyFont="1" applyFill="1"/>
    <xf numFmtId="2" fontId="87" fillId="0" borderId="44" xfId="0" applyNumberFormat="1" applyFont="1" applyBorder="1"/>
    <xf numFmtId="0" fontId="92" fillId="6" borderId="0" xfId="0" applyFont="1" applyFill="1"/>
    <xf numFmtId="0" fontId="89" fillId="18" borderId="0" xfId="0" applyFont="1" applyFill="1" applyBorder="1"/>
    <xf numFmtId="0" fontId="89" fillId="18" borderId="0" xfId="0" applyFont="1" applyFill="1" applyAlignment="1">
      <alignment horizontal="center"/>
    </xf>
    <xf numFmtId="0" fontId="91" fillId="18" borderId="0" xfId="0" applyFont="1" applyFill="1" applyAlignment="1">
      <alignment horizontal="left"/>
    </xf>
    <xf numFmtId="0" fontId="89" fillId="18" borderId="0" xfId="0" applyFont="1" applyFill="1"/>
    <xf numFmtId="0" fontId="88" fillId="18" borderId="0" xfId="0" applyFont="1" applyFill="1" applyAlignment="1">
      <alignment horizontal="left"/>
    </xf>
    <xf numFmtId="0" fontId="93" fillId="6" borderId="0" xfId="0" applyFont="1" applyFill="1" applyAlignment="1">
      <alignment horizontal="left"/>
    </xf>
    <xf numFmtId="0" fontId="0" fillId="18" borderId="42" xfId="0" applyFill="1" applyBorder="1"/>
    <xf numFmtId="0" fontId="77" fillId="18" borderId="43" xfId="0" applyFont="1" applyFill="1" applyBorder="1" applyAlignment="1">
      <alignment horizontal="left"/>
    </xf>
    <xf numFmtId="0" fontId="0" fillId="18" borderId="43" xfId="0" applyFill="1" applyBorder="1"/>
    <xf numFmtId="0" fontId="0" fillId="18" borderId="43" xfId="0" applyFill="1" applyBorder="1" applyAlignment="1">
      <alignment horizontal="center"/>
    </xf>
    <xf numFmtId="0" fontId="40" fillId="18" borderId="44" xfId="0" applyFont="1" applyFill="1" applyBorder="1" applyAlignment="1">
      <alignment horizontal="center"/>
    </xf>
    <xf numFmtId="0" fontId="89" fillId="6" borderId="0" xfId="0" applyFont="1" applyFill="1" applyBorder="1"/>
    <xf numFmtId="0" fontId="88" fillId="6" borderId="0" xfId="0" applyFont="1" applyFill="1" applyAlignment="1">
      <alignment horizontal="center"/>
    </xf>
    <xf numFmtId="0" fontId="89" fillId="6" borderId="0" xfId="0" applyFont="1" applyFill="1" applyAlignment="1">
      <alignment horizontal="center"/>
    </xf>
    <xf numFmtId="0" fontId="91" fillId="6" borderId="0" xfId="0" applyFont="1" applyFill="1" applyAlignment="1">
      <alignment horizontal="left"/>
    </xf>
    <xf numFmtId="0" fontId="89" fillId="6" borderId="0" xfId="0" applyFont="1" applyFill="1"/>
    <xf numFmtId="0" fontId="88" fillId="6" borderId="0" xfId="0" applyFont="1" applyFill="1" applyAlignment="1">
      <alignment horizontal="left"/>
    </xf>
    <xf numFmtId="49" fontId="94" fillId="10" borderId="0" xfId="0" applyNumberFormat="1" applyFont="1" applyFill="1" applyBorder="1" applyAlignment="1">
      <alignment horizontal="center"/>
    </xf>
    <xf numFmtId="2" fontId="36" fillId="6" borderId="0" xfId="0" applyNumberFormat="1" applyFont="1" applyFill="1" applyAlignment="1">
      <alignment horizontal="left"/>
    </xf>
    <xf numFmtId="0" fontId="95" fillId="12" borderId="0" xfId="0" applyFont="1" applyFill="1" applyAlignment="1">
      <alignment horizontal="center"/>
    </xf>
    <xf numFmtId="49" fontId="96" fillId="6" borderId="0" xfId="1" applyNumberFormat="1" applyFont="1" applyFill="1" applyAlignment="1">
      <alignment horizontal="center"/>
    </xf>
    <xf numFmtId="2" fontId="97" fillId="6" borderId="0" xfId="0" applyNumberFormat="1" applyFont="1" applyFill="1" applyAlignment="1">
      <alignment horizontal="center"/>
    </xf>
    <xf numFmtId="49" fontId="98" fillId="6" borderId="0" xfId="1" applyNumberFormat="1" applyFont="1" applyFill="1" applyAlignment="1">
      <alignment horizontal="center"/>
    </xf>
    <xf numFmtId="0" fontId="99" fillId="6" borderId="0" xfId="0" applyFont="1" applyFill="1"/>
    <xf numFmtId="0" fontId="97" fillId="6" borderId="0" xfId="0" applyFont="1" applyFill="1" applyAlignment="1">
      <alignment horizontal="center"/>
    </xf>
    <xf numFmtId="0" fontId="9" fillId="13" borderId="0" xfId="0" applyFont="1" applyFill="1"/>
    <xf numFmtId="0" fontId="0" fillId="13" borderId="0" xfId="0" applyFill="1"/>
    <xf numFmtId="0" fontId="0" fillId="13" borderId="0" xfId="0" applyFill="1" applyAlignment="1">
      <alignment horizontal="center"/>
    </xf>
    <xf numFmtId="164" fontId="87" fillId="18" borderId="0" xfId="0" applyNumberFormat="1" applyFont="1" applyFill="1"/>
    <xf numFmtId="0" fontId="85" fillId="6" borderId="0" xfId="0" applyFont="1" applyFill="1" applyBorder="1"/>
    <xf numFmtId="0" fontId="23" fillId="0" borderId="0" xfId="0" applyFont="1" applyAlignment="1">
      <alignment horizontal="center" vertical="center"/>
    </xf>
    <xf numFmtId="164" fontId="87" fillId="18" borderId="0" xfId="0" applyNumberFormat="1" applyFont="1" applyFill="1" applyAlignment="1">
      <alignment horizontal="left"/>
    </xf>
    <xf numFmtId="0" fontId="100" fillId="0" borderId="0" xfId="0" applyFont="1"/>
    <xf numFmtId="1" fontId="97" fillId="0" borderId="0" xfId="0" applyNumberFormat="1" applyFont="1" applyAlignment="1">
      <alignment horizontal="left"/>
    </xf>
    <xf numFmtId="0" fontId="18" fillId="0" borderId="0" xfId="0" applyFont="1" applyAlignment="1">
      <alignment horizontal="center" vertical="center"/>
    </xf>
    <xf numFmtId="164" fontId="101" fillId="0" borderId="0" xfId="0" applyNumberFormat="1" applyFont="1" applyAlignment="1">
      <alignment horizontal="center"/>
    </xf>
    <xf numFmtId="0" fontId="89" fillId="0" borderId="0" xfId="0" applyFont="1"/>
    <xf numFmtId="0" fontId="89" fillId="0" borderId="0" xfId="0" applyFont="1" applyAlignment="1">
      <alignment horizontal="center"/>
    </xf>
    <xf numFmtId="47" fontId="0" fillId="0" borderId="0" xfId="0" applyNumberFormat="1"/>
    <xf numFmtId="0" fontId="12" fillId="6" borderId="0" xfId="0" applyFont="1" applyFill="1" applyAlignment="1">
      <alignment horizontal="left"/>
    </xf>
    <xf numFmtId="49" fontId="88" fillId="18" borderId="0" xfId="0" applyNumberFormat="1" applyFont="1" applyFill="1" applyAlignment="1">
      <alignment horizontal="right"/>
    </xf>
    <xf numFmtId="49" fontId="88" fillId="18" borderId="0" xfId="0" applyNumberFormat="1" applyFont="1" applyFill="1" applyAlignment="1">
      <alignment horizontal="left"/>
    </xf>
    <xf numFmtId="164" fontId="18" fillId="0" borderId="0" xfId="0" applyNumberFormat="1" applyFont="1" applyAlignment="1">
      <alignment horizontal="center" vertical="center"/>
    </xf>
    <xf numFmtId="0" fontId="102" fillId="6" borderId="16" xfId="0" applyFont="1" applyFill="1" applyBorder="1" applyAlignment="1">
      <alignment horizontal="center"/>
    </xf>
    <xf numFmtId="49" fontId="103" fillId="6" borderId="16" xfId="0" applyNumberFormat="1" applyFont="1" applyFill="1" applyBorder="1" applyAlignment="1">
      <alignment horizontal="right"/>
    </xf>
    <xf numFmtId="46" fontId="103" fillId="6" borderId="16" xfId="0" applyNumberFormat="1" applyFont="1" applyFill="1" applyBorder="1"/>
    <xf numFmtId="0" fontId="103" fillId="6" borderId="16" xfId="0" applyFont="1" applyFill="1" applyBorder="1" applyAlignment="1">
      <alignment horizontal="left"/>
    </xf>
    <xf numFmtId="0" fontId="103" fillId="0" borderId="17" xfId="0" applyFont="1" applyBorder="1" applyAlignment="1">
      <alignment horizontal="center"/>
    </xf>
    <xf numFmtId="0" fontId="102" fillId="6" borderId="0" xfId="0" applyFont="1" applyFill="1" applyBorder="1" applyAlignment="1">
      <alignment horizontal="center"/>
    </xf>
    <xf numFmtId="49" fontId="103" fillId="6" borderId="0" xfId="0" applyNumberFormat="1" applyFont="1" applyFill="1" applyBorder="1" applyAlignment="1">
      <alignment horizontal="right"/>
    </xf>
    <xf numFmtId="46" fontId="103" fillId="6" borderId="0" xfId="0" applyNumberFormat="1" applyFont="1" applyFill="1" applyBorder="1"/>
    <xf numFmtId="0" fontId="103" fillId="6" borderId="0" xfId="0" applyFont="1" applyFill="1" applyBorder="1" applyAlignment="1">
      <alignment horizontal="left"/>
    </xf>
    <xf numFmtId="0" fontId="103" fillId="0" borderId="1" xfId="0" applyFont="1" applyBorder="1" applyAlignment="1">
      <alignment horizontal="center"/>
    </xf>
    <xf numFmtId="49" fontId="103" fillId="6" borderId="20" xfId="0" applyNumberFormat="1" applyFont="1" applyFill="1" applyBorder="1" applyAlignment="1">
      <alignment horizontal="right"/>
    </xf>
    <xf numFmtId="46" fontId="103" fillId="6" borderId="20" xfId="0" applyNumberFormat="1" applyFont="1" applyFill="1" applyBorder="1"/>
    <xf numFmtId="0" fontId="103" fillId="6" borderId="20" xfId="0" applyFont="1" applyFill="1" applyBorder="1" applyAlignment="1">
      <alignment horizontal="left"/>
    </xf>
    <xf numFmtId="0" fontId="103" fillId="0" borderId="21" xfId="0" applyFont="1" applyBorder="1" applyAlignment="1">
      <alignment horizontal="center"/>
    </xf>
    <xf numFmtId="0" fontId="43" fillId="6" borderId="0" xfId="0" applyFont="1" applyFill="1" applyBorder="1" applyAlignment="1">
      <alignment horizontal="center"/>
    </xf>
    <xf numFmtId="0" fontId="0" fillId="6" borderId="21" xfId="0" applyFill="1" applyBorder="1" applyAlignment="1">
      <alignment horizontal="center"/>
    </xf>
    <xf numFmtId="0" fontId="43" fillId="11" borderId="0" xfId="0" applyFont="1" applyFill="1" applyBorder="1" applyAlignment="1">
      <alignment horizontal="center"/>
    </xf>
    <xf numFmtId="2" fontId="104" fillId="16" borderId="0" xfId="0" applyNumberFormat="1" applyFont="1" applyFill="1" applyBorder="1" applyAlignment="1">
      <alignment horizontal="center"/>
    </xf>
    <xf numFmtId="0" fontId="105" fillId="0" borderId="0" xfId="0" applyFont="1"/>
    <xf numFmtId="0" fontId="106" fillId="16" borderId="0" xfId="0" applyFont="1" applyFill="1"/>
    <xf numFmtId="0" fontId="107" fillId="0" borderId="0" xfId="0" applyFont="1"/>
    <xf numFmtId="2" fontId="108" fillId="0" borderId="0" xfId="0" applyNumberFormat="1" applyFont="1" applyAlignment="1">
      <alignment horizontal="center" vertical="center"/>
    </xf>
    <xf numFmtId="0" fontId="109" fillId="0" borderId="0" xfId="0" applyFont="1"/>
    <xf numFmtId="0" fontId="110" fillId="0" borderId="0" xfId="0" applyFont="1"/>
    <xf numFmtId="0" fontId="111" fillId="0" borderId="0" xfId="0" applyFont="1" applyAlignment="1">
      <alignment horizontal="left"/>
    </xf>
    <xf numFmtId="49" fontId="112" fillId="0" borderId="0" xfId="0" applyNumberFormat="1" applyFont="1" applyAlignment="1">
      <alignment horizontal="right"/>
    </xf>
    <xf numFmtId="2" fontId="112" fillId="0" borderId="0" xfId="0" applyNumberFormat="1" applyFont="1" applyAlignment="1">
      <alignment horizontal="left"/>
    </xf>
    <xf numFmtId="49" fontId="112" fillId="0" borderId="0" xfId="0" applyNumberFormat="1" applyFont="1" applyAlignment="1">
      <alignment horizontal="left"/>
    </xf>
    <xf numFmtId="0" fontId="113" fillId="0" borderId="0" xfId="0" applyFont="1" applyAlignment="1">
      <alignment horizontal="right"/>
    </xf>
    <xf numFmtId="0" fontId="113" fillId="0" borderId="0" xfId="0" applyFont="1"/>
    <xf numFmtId="0" fontId="112" fillId="0" borderId="0" xfId="0" applyFont="1" applyAlignment="1">
      <alignment horizontal="right" vertical="center"/>
    </xf>
    <xf numFmtId="0" fontId="112" fillId="0" borderId="0" xfId="0" applyFont="1" applyAlignment="1">
      <alignment horizontal="left"/>
    </xf>
    <xf numFmtId="0" fontId="112" fillId="0" borderId="0" xfId="0" applyFont="1"/>
    <xf numFmtId="2" fontId="112" fillId="0" borderId="0" xfId="0" applyNumberFormat="1" applyFont="1"/>
    <xf numFmtId="2" fontId="112" fillId="0" borderId="0" xfId="0" applyNumberFormat="1" applyFont="1" applyAlignment="1">
      <alignment horizontal="center"/>
    </xf>
    <xf numFmtId="0" fontId="112" fillId="0" borderId="0" xfId="0" applyFont="1" applyAlignment="1">
      <alignment horizontal="right"/>
    </xf>
    <xf numFmtId="47" fontId="88" fillId="6" borderId="0" xfId="0" applyNumberFormat="1" applyFont="1" applyFill="1" applyBorder="1" applyAlignment="1">
      <alignment horizontal="left"/>
    </xf>
    <xf numFmtId="0" fontId="27" fillId="0" borderId="0" xfId="0" applyFont="1" applyBorder="1"/>
    <xf numFmtId="0" fontId="88" fillId="6" borderId="0" xfId="0" applyFont="1" applyFill="1" applyBorder="1" applyAlignment="1">
      <alignment horizontal="center"/>
    </xf>
    <xf numFmtId="49" fontId="31" fillId="6" borderId="0" xfId="0" applyNumberFormat="1" applyFont="1" applyFill="1" applyAlignment="1">
      <alignment horizontal="center"/>
    </xf>
    <xf numFmtId="0" fontId="49" fillId="6" borderId="0" xfId="0" applyFont="1" applyFill="1" applyAlignment="1">
      <alignment horizontal="right"/>
    </xf>
    <xf numFmtId="1" fontId="103" fillId="6" borderId="0" xfId="0" applyNumberFormat="1" applyFont="1" applyFill="1" applyBorder="1" applyAlignment="1">
      <alignment horizontal="left"/>
    </xf>
    <xf numFmtId="0" fontId="12" fillId="6" borderId="0" xfId="0" applyFont="1" applyFill="1" applyAlignment="1">
      <alignment horizontal="right"/>
    </xf>
    <xf numFmtId="0" fontId="63" fillId="6" borderId="36" xfId="0" applyFont="1" applyFill="1" applyBorder="1" applyAlignment="1">
      <alignment horizontal="center" vertical="center"/>
    </xf>
    <xf numFmtId="0" fontId="63" fillId="6" borderId="32" xfId="0" applyFont="1" applyFill="1" applyBorder="1" applyAlignment="1">
      <alignment horizontal="center" vertical="center"/>
    </xf>
    <xf numFmtId="0" fontId="63" fillId="6" borderId="32" xfId="0" applyFont="1" applyFill="1" applyBorder="1" applyAlignment="1">
      <alignment horizontal="left" vertical="center"/>
    </xf>
    <xf numFmtId="46" fontId="63" fillId="6" borderId="37" xfId="0" applyNumberFormat="1" applyFont="1" applyFill="1" applyBorder="1" applyAlignment="1">
      <alignment horizontal="center" vertical="center"/>
    </xf>
    <xf numFmtId="20" fontId="63" fillId="6" borderId="37" xfId="0" applyNumberFormat="1" applyFont="1" applyFill="1" applyBorder="1" applyAlignment="1">
      <alignment horizontal="center" vertical="center"/>
    </xf>
    <xf numFmtId="0" fontId="15" fillId="10" borderId="0" xfId="0" applyFont="1" applyFill="1" applyBorder="1" applyAlignment="1">
      <alignment horizontal="center"/>
    </xf>
    <xf numFmtId="0" fontId="57" fillId="6" borderId="0" xfId="0" applyFont="1" applyFill="1"/>
    <xf numFmtId="49" fontId="80" fillId="0" borderId="0" xfId="1" applyNumberFormat="1" applyFont="1" applyFill="1" applyAlignment="1">
      <alignment horizontal="center"/>
    </xf>
    <xf numFmtId="0" fontId="44" fillId="18" borderId="0" xfId="0" applyFont="1" applyFill="1" applyBorder="1" applyAlignment="1">
      <alignment horizontal="center"/>
    </xf>
    <xf numFmtId="49" fontId="14" fillId="18" borderId="0" xfId="1" applyNumberFormat="1" applyFont="1" applyFill="1" applyBorder="1" applyAlignment="1">
      <alignment horizontal="center"/>
    </xf>
    <xf numFmtId="0" fontId="44" fillId="18" borderId="0" xfId="0" applyFont="1" applyFill="1" applyAlignment="1">
      <alignment horizontal="center"/>
    </xf>
    <xf numFmtId="0" fontId="0" fillId="18" borderId="0" xfId="0" applyFill="1"/>
    <xf numFmtId="0" fontId="10" fillId="18" borderId="0" xfId="0" applyFont="1" applyFill="1" applyAlignment="1">
      <alignment horizontal="left"/>
    </xf>
    <xf numFmtId="49" fontId="83" fillId="18" borderId="0" xfId="1" applyNumberFormat="1" applyFont="1" applyFill="1" applyAlignment="1">
      <alignment horizontal="center"/>
    </xf>
    <xf numFmtId="49" fontId="12" fillId="6" borderId="4" xfId="0" applyNumberFormat="1" applyFont="1" applyFill="1" applyBorder="1" applyAlignment="1">
      <alignment horizontal="center"/>
    </xf>
    <xf numFmtId="164" fontId="27" fillId="0" borderId="0" xfId="0" applyNumberFormat="1" applyFont="1"/>
    <xf numFmtId="0" fontId="56" fillId="10" borderId="0" xfId="0" applyFont="1" applyFill="1" applyBorder="1" applyAlignment="1">
      <alignment horizontal="center"/>
    </xf>
    <xf numFmtId="49" fontId="56" fillId="10" borderId="0" xfId="1" applyNumberFormat="1" applyFont="1" applyFill="1" applyBorder="1" applyAlignment="1">
      <alignment horizontal="center"/>
    </xf>
    <xf numFmtId="0" fontId="56" fillId="10" borderId="0" xfId="0" applyFont="1" applyFill="1" applyAlignment="1">
      <alignment horizontal="center"/>
    </xf>
    <xf numFmtId="0" fontId="86" fillId="10" borderId="0" xfId="0" applyFont="1" applyFill="1"/>
    <xf numFmtId="2" fontId="36" fillId="11" borderId="0" xfId="0" applyNumberFormat="1" applyFont="1" applyFill="1" applyAlignment="1">
      <alignment horizontal="center"/>
    </xf>
    <xf numFmtId="2" fontId="36" fillId="0" borderId="0" xfId="0" applyNumberFormat="1" applyFont="1" applyAlignment="1">
      <alignment horizontal="center"/>
    </xf>
    <xf numFmtId="49" fontId="30" fillId="0" borderId="0" xfId="0" applyNumberFormat="1" applyFont="1" applyFill="1" applyBorder="1" applyAlignment="1">
      <alignment horizontal="right"/>
    </xf>
    <xf numFmtId="0" fontId="0" fillId="6" borderId="20" xfId="0" applyFill="1" applyBorder="1"/>
    <xf numFmtId="0" fontId="36" fillId="6" borderId="20" xfId="0" applyFont="1" applyFill="1" applyBorder="1" applyAlignment="1">
      <alignment horizontal="center"/>
    </xf>
    <xf numFmtId="49" fontId="36" fillId="6" borderId="20" xfId="1" applyNumberFormat="1" applyFont="1" applyFill="1" applyBorder="1" applyAlignment="1">
      <alignment horizontal="center"/>
    </xf>
    <xf numFmtId="49" fontId="53" fillId="6" borderId="20" xfId="1" applyNumberFormat="1" applyFont="1" applyFill="1" applyBorder="1" applyAlignment="1">
      <alignment horizontal="center"/>
    </xf>
    <xf numFmtId="49" fontId="61" fillId="6" borderId="20" xfId="0" applyNumberFormat="1" applyFont="1" applyFill="1" applyBorder="1" applyAlignment="1">
      <alignment horizontal="center"/>
    </xf>
    <xf numFmtId="2" fontId="18" fillId="6" borderId="20" xfId="0" applyNumberFormat="1" applyFont="1" applyFill="1" applyBorder="1" applyAlignment="1">
      <alignment horizontal="center"/>
    </xf>
    <xf numFmtId="49" fontId="49" fillId="6" borderId="41" xfId="0" applyNumberFormat="1" applyFont="1" applyFill="1" applyBorder="1" applyAlignment="1">
      <alignment horizontal="center"/>
    </xf>
    <xf numFmtId="49" fontId="12" fillId="6" borderId="41" xfId="0" applyNumberFormat="1" applyFont="1" applyFill="1" applyBorder="1" applyAlignment="1">
      <alignment horizontal="center"/>
    </xf>
    <xf numFmtId="0" fontId="68" fillId="0" borderId="20" xfId="0" applyFont="1" applyBorder="1" applyAlignment="1">
      <alignment horizontal="center"/>
    </xf>
    <xf numFmtId="0" fontId="68" fillId="0" borderId="20" xfId="0" applyFont="1" applyBorder="1"/>
    <xf numFmtId="0" fontId="35" fillId="19" borderId="0" xfId="0" applyFont="1" applyFill="1" applyAlignment="1">
      <alignment horizontal="center"/>
    </xf>
    <xf numFmtId="0" fontId="114" fillId="0" borderId="0" xfId="0" applyFont="1" applyBorder="1" applyAlignment="1">
      <alignment horizontal="left"/>
    </xf>
    <xf numFmtId="46" fontId="103" fillId="6" borderId="16" xfId="0" applyNumberFormat="1" applyFont="1" applyFill="1" applyBorder="1" applyAlignment="1"/>
    <xf numFmtId="165" fontId="112" fillId="0" borderId="0" xfId="0" applyNumberFormat="1" applyFont="1" applyAlignment="1">
      <alignment horizontal="left"/>
    </xf>
    <xf numFmtId="2" fontId="18" fillId="6" borderId="0" xfId="0" applyNumberFormat="1" applyFont="1" applyFill="1" applyAlignment="1">
      <alignment horizontal="center" vertical="center"/>
    </xf>
    <xf numFmtId="2" fontId="88" fillId="0" borderId="42" xfId="0" applyNumberFormat="1" applyFont="1" applyBorder="1"/>
    <xf numFmtId="2" fontId="88" fillId="0" borderId="0" xfId="0" applyNumberFormat="1" applyFont="1"/>
    <xf numFmtId="164" fontId="12" fillId="6" borderId="0" xfId="0" applyNumberFormat="1" applyFont="1" applyFill="1" applyBorder="1" applyAlignment="1">
      <alignment horizontal="center"/>
    </xf>
    <xf numFmtId="49" fontId="56" fillId="6" borderId="41" xfId="1" applyNumberFormat="1" applyFont="1" applyFill="1" applyBorder="1" applyAlignment="1">
      <alignment horizontal="center"/>
    </xf>
    <xf numFmtId="49" fontId="14" fillId="12" borderId="3" xfId="1" applyNumberFormat="1" applyFont="1" applyFill="1" applyBorder="1" applyAlignment="1">
      <alignment horizontal="center"/>
    </xf>
    <xf numFmtId="2" fontId="88" fillId="6" borderId="42" xfId="0" applyNumberFormat="1" applyFont="1" applyFill="1" applyBorder="1"/>
    <xf numFmtId="2" fontId="88" fillId="6" borderId="44" xfId="0" applyNumberFormat="1" applyFont="1" applyFill="1" applyBorder="1"/>
    <xf numFmtId="49" fontId="115" fillId="6" borderId="41" xfId="0" applyNumberFormat="1" applyFont="1" applyFill="1" applyBorder="1" applyAlignment="1">
      <alignment horizontal="center"/>
    </xf>
    <xf numFmtId="0" fontId="36" fillId="6" borderId="22" xfId="0" applyFont="1" applyFill="1" applyBorder="1" applyAlignment="1">
      <alignment horizontal="center"/>
    </xf>
    <xf numFmtId="49" fontId="36" fillId="6" borderId="45" xfId="1" applyNumberFormat="1" applyFont="1" applyFill="1" applyBorder="1" applyAlignment="1">
      <alignment horizontal="center"/>
    </xf>
    <xf numFmtId="49" fontId="36" fillId="6" borderId="45" xfId="0" applyNumberFormat="1" applyFont="1" applyFill="1" applyBorder="1" applyAlignment="1">
      <alignment horizontal="center"/>
    </xf>
    <xf numFmtId="2" fontId="18" fillId="6" borderId="45" xfId="0" applyNumberFormat="1" applyFont="1" applyFill="1" applyBorder="1" applyAlignment="1">
      <alignment horizontal="center"/>
    </xf>
    <xf numFmtId="0" fontId="36" fillId="6" borderId="23" xfId="0" applyFont="1" applyFill="1" applyBorder="1" applyAlignment="1">
      <alignment horizontal="center"/>
    </xf>
    <xf numFmtId="0" fontId="43" fillId="6" borderId="14" xfId="0" applyFont="1" applyFill="1" applyBorder="1" applyAlignment="1">
      <alignment horizontal="center"/>
    </xf>
    <xf numFmtId="0" fontId="43" fillId="6" borderId="24" xfId="0" applyFont="1" applyFill="1" applyBorder="1" applyAlignment="1">
      <alignment horizontal="center"/>
    </xf>
    <xf numFmtId="0" fontId="61" fillId="6" borderId="25" xfId="0" applyFont="1" applyFill="1" applyBorder="1" applyAlignment="1">
      <alignment horizontal="center"/>
    </xf>
    <xf numFmtId="49" fontId="53" fillId="6" borderId="8" xfId="1" applyNumberFormat="1" applyFont="1" applyFill="1" applyBorder="1" applyAlignment="1">
      <alignment horizontal="center"/>
    </xf>
    <xf numFmtId="49" fontId="61" fillId="6" borderId="8" xfId="1" applyNumberFormat="1" applyFont="1" applyFill="1" applyBorder="1" applyAlignment="1">
      <alignment horizontal="center"/>
    </xf>
    <xf numFmtId="49" fontId="53" fillId="6" borderId="8" xfId="0" applyNumberFormat="1" applyFont="1" applyFill="1" applyBorder="1" applyAlignment="1">
      <alignment horizontal="center"/>
    </xf>
    <xf numFmtId="0" fontId="61" fillId="6" borderId="26" xfId="0" applyFont="1" applyFill="1" applyBorder="1" applyAlignment="1">
      <alignment horizontal="center"/>
    </xf>
    <xf numFmtId="0" fontId="44" fillId="6" borderId="0" xfId="0" applyFont="1" applyFill="1" applyAlignment="1">
      <alignment horizontal="left"/>
    </xf>
    <xf numFmtId="0" fontId="28" fillId="6" borderId="0" xfId="0" applyFont="1" applyFill="1"/>
    <xf numFmtId="2" fontId="23" fillId="6" borderId="8" xfId="0" applyNumberFormat="1" applyFont="1" applyFill="1" applyBorder="1" applyAlignment="1">
      <alignment horizontal="center"/>
    </xf>
    <xf numFmtId="0" fontId="68" fillId="0" borderId="16" xfId="0" applyFont="1" applyBorder="1" applyAlignment="1">
      <alignment horizontal="center"/>
    </xf>
    <xf numFmtId="0" fontId="68" fillId="0" borderId="16" xfId="0" applyFont="1" applyBorder="1"/>
    <xf numFmtId="0" fontId="0" fillId="11" borderId="0" xfId="0" applyFill="1" applyBorder="1"/>
    <xf numFmtId="0" fontId="27" fillId="0" borderId="0" xfId="0" applyFont="1" applyBorder="1" applyAlignment="1">
      <alignment horizontal="center"/>
    </xf>
    <xf numFmtId="0" fontId="53" fillId="6" borderId="0" xfId="0" applyFont="1" applyFill="1" applyBorder="1" applyAlignment="1">
      <alignment horizontal="left" readingOrder="1"/>
    </xf>
    <xf numFmtId="0" fontId="35" fillId="0" borderId="0" xfId="0" applyFont="1" applyAlignment="1">
      <alignment horizontal="center" vertical="center"/>
    </xf>
    <xf numFmtId="49" fontId="10" fillId="6" borderId="0" xfId="1" applyNumberFormat="1" applyFont="1" applyFill="1" applyAlignment="1">
      <alignment horizontal="center"/>
    </xf>
    <xf numFmtId="49" fontId="10" fillId="6" borderId="0" xfId="1" applyNumberFormat="1" applyFont="1" applyFill="1" applyBorder="1" applyAlignment="1">
      <alignment horizontal="center"/>
    </xf>
    <xf numFmtId="0" fontId="36" fillId="6" borderId="0" xfId="0" applyFont="1" applyFill="1" applyAlignment="1">
      <alignment horizontal="center"/>
    </xf>
    <xf numFmtId="0" fontId="12" fillId="13" borderId="0" xfId="0" applyFont="1" applyFill="1" applyAlignment="1">
      <alignment horizontal="left"/>
    </xf>
    <xf numFmtId="49" fontId="12" fillId="13" borderId="0" xfId="1" applyNumberFormat="1" applyFont="1" applyFill="1" applyBorder="1" applyAlignment="1">
      <alignment horizontal="left"/>
    </xf>
    <xf numFmtId="0" fontId="35" fillId="18" borderId="0" xfId="0" applyFont="1" applyFill="1" applyAlignment="1">
      <alignment horizontal="center" vertical="center"/>
    </xf>
    <xf numFmtId="0" fontId="35" fillId="6" borderId="0" xfId="0" applyFont="1" applyFill="1" applyAlignment="1">
      <alignment horizontal="center" vertical="center"/>
    </xf>
    <xf numFmtId="0" fontId="35" fillId="13" borderId="0" xfId="0" applyFont="1" applyFill="1" applyAlignment="1">
      <alignment horizontal="center" vertical="center"/>
    </xf>
    <xf numFmtId="0" fontId="10" fillId="18" borderId="0" xfId="0" applyFont="1" applyFill="1" applyBorder="1" applyAlignment="1">
      <alignment horizontal="center" vertical="center"/>
    </xf>
    <xf numFmtId="0" fontId="10" fillId="18" borderId="0" xfId="0" applyFont="1" applyFill="1" applyAlignment="1">
      <alignment horizontal="center" vertical="center"/>
    </xf>
    <xf numFmtId="0" fontId="55" fillId="6" borderId="0" xfId="0" applyFont="1" applyFill="1" applyAlignment="1">
      <alignment horizontal="center" vertical="center"/>
    </xf>
    <xf numFmtId="49" fontId="43" fillId="6" borderId="0" xfId="1" applyNumberFormat="1" applyFont="1" applyFill="1" applyAlignment="1">
      <alignment horizontal="center"/>
    </xf>
    <xf numFmtId="49" fontId="43" fillId="6" borderId="0" xfId="1" applyNumberFormat="1" applyFont="1" applyFill="1" applyBorder="1" applyAlignment="1">
      <alignment horizontal="center"/>
    </xf>
    <xf numFmtId="49" fontId="18" fillId="6" borderId="0" xfId="1" applyNumberFormat="1" applyFont="1" applyFill="1" applyBorder="1" applyAlignment="1">
      <alignment horizontal="center" vertical="center"/>
    </xf>
    <xf numFmtId="0" fontId="35" fillId="18" borderId="0" xfId="0" applyFont="1" applyFill="1"/>
    <xf numFmtId="0" fontId="35" fillId="18" borderId="0" xfId="0" applyFont="1" applyFill="1" applyAlignment="1">
      <alignment horizontal="left"/>
    </xf>
    <xf numFmtId="49" fontId="16" fillId="6" borderId="0" xfId="1" applyNumberFormat="1" applyFont="1" applyFill="1" applyBorder="1" applyAlignment="1">
      <alignment horizontal="center" vertical="center"/>
    </xf>
    <xf numFmtId="0" fontId="19" fillId="0" borderId="15" xfId="0" applyFont="1" applyBorder="1" applyAlignment="1">
      <alignment horizontal="center"/>
    </xf>
    <xf numFmtId="0" fontId="19" fillId="0" borderId="18" xfId="0" applyFont="1" applyBorder="1" applyAlignment="1">
      <alignment horizontal="center"/>
    </xf>
    <xf numFmtId="0" fontId="19" fillId="0" borderId="19" xfId="0" applyFont="1" applyBorder="1" applyAlignment="1">
      <alignment horizontal="center"/>
    </xf>
    <xf numFmtId="2" fontId="35" fillId="0" borderId="17" xfId="0" applyNumberFormat="1" applyFont="1" applyBorder="1" applyAlignment="1">
      <alignment horizontal="center"/>
    </xf>
    <xf numFmtId="2" fontId="35" fillId="0" borderId="1" xfId="0" applyNumberFormat="1" applyFont="1" applyBorder="1" applyAlignment="1">
      <alignment horizontal="center"/>
    </xf>
    <xf numFmtId="2" fontId="16" fillId="0" borderId="1" xfId="0" applyNumberFormat="1" applyFont="1" applyBorder="1" applyAlignment="1">
      <alignment horizontal="center"/>
    </xf>
    <xf numFmtId="2" fontId="16" fillId="0" borderId="21" xfId="0" applyNumberFormat="1" applyFont="1" applyBorder="1" applyAlignment="1">
      <alignment horizontal="center"/>
    </xf>
    <xf numFmtId="0" fontId="116" fillId="6" borderId="0" xfId="0" applyFont="1" applyFill="1" applyAlignment="1">
      <alignment horizontal="left"/>
    </xf>
    <xf numFmtId="0" fontId="12" fillId="18" borderId="0" xfId="0" applyFont="1" applyFill="1" applyBorder="1" applyAlignment="1">
      <alignment horizontal="center" vertical="center"/>
    </xf>
    <xf numFmtId="0" fontId="8" fillId="18" borderId="0" xfId="0" applyFont="1" applyFill="1" applyBorder="1" applyAlignment="1">
      <alignment horizontal="center" vertical="center"/>
    </xf>
    <xf numFmtId="0" fontId="8" fillId="18" borderId="0" xfId="0" applyFont="1" applyFill="1" applyAlignment="1">
      <alignment horizontal="center" vertical="center"/>
    </xf>
    <xf numFmtId="0" fontId="101" fillId="13" borderId="0" xfId="0" applyFont="1" applyFill="1" applyAlignment="1">
      <alignment horizontal="center"/>
    </xf>
    <xf numFmtId="0" fontId="101" fillId="15" borderId="0" xfId="0" applyFont="1" applyFill="1" applyAlignment="1">
      <alignment horizontal="center"/>
    </xf>
    <xf numFmtId="0" fontId="101" fillId="6" borderId="0" xfId="0" applyFont="1" applyFill="1" applyAlignment="1">
      <alignment horizontal="center"/>
    </xf>
    <xf numFmtId="0" fontId="101" fillId="0" borderId="0" xfId="0" applyFont="1" applyAlignment="1">
      <alignment horizontal="center" vertical="center"/>
    </xf>
    <xf numFmtId="0" fontId="101" fillId="0" borderId="0" xfId="0" applyFont="1" applyAlignment="1">
      <alignment horizontal="center"/>
    </xf>
    <xf numFmtId="0" fontId="101" fillId="0" borderId="0" xfId="0" applyFont="1"/>
    <xf numFmtId="0" fontId="101" fillId="13" borderId="0" xfId="0" applyFont="1" applyFill="1" applyAlignment="1">
      <alignment horizontal="left"/>
    </xf>
    <xf numFmtId="0" fontId="101" fillId="6" borderId="0" xfId="0" applyFont="1" applyFill="1" applyAlignment="1">
      <alignment horizontal="right"/>
    </xf>
    <xf numFmtId="0" fontId="101" fillId="6" borderId="0" xfId="0" applyFont="1" applyFill="1"/>
    <xf numFmtId="49" fontId="117" fillId="13" borderId="0" xfId="1" applyNumberFormat="1" applyFont="1" applyFill="1" applyBorder="1" applyAlignment="1">
      <alignment horizontal="left"/>
    </xf>
    <xf numFmtId="49" fontId="117" fillId="13" borderId="0" xfId="1" applyNumberFormat="1" applyFont="1" applyFill="1" applyAlignment="1">
      <alignment horizontal="left"/>
    </xf>
    <xf numFmtId="49" fontId="117" fillId="6" borderId="0" xfId="1" applyNumberFormat="1" applyFont="1" applyFill="1" applyBorder="1" applyAlignment="1">
      <alignment horizontal="left"/>
    </xf>
    <xf numFmtId="49" fontId="118" fillId="13" borderId="0" xfId="1" applyNumberFormat="1" applyFont="1" applyFill="1" applyBorder="1" applyAlignment="1">
      <alignment horizontal="left"/>
    </xf>
    <xf numFmtId="0" fontId="118" fillId="13" borderId="0" xfId="0" applyFont="1" applyFill="1" applyAlignment="1">
      <alignment horizontal="left"/>
    </xf>
  </cellXfs>
  <cellStyles count="3">
    <cellStyle name="Hypertextový odkaz" xfId="2" builtinId="8"/>
    <cellStyle name="normální" xfId="0" builtinId="0"/>
    <cellStyle name="normální 2" xfId="1"/>
  </cellStyles>
  <dxfs count="0"/>
  <tableStyles count="0" defaultTableStyle="TableStyleMedium9" defaultPivotStyle="PivotStyleLight16"/>
  <colors>
    <mruColors>
      <color rgb="FFCC0099"/>
      <color rgb="FFF0EA00"/>
      <color rgb="FF666699"/>
      <color rgb="FF3333FF"/>
      <color rgb="FF990099"/>
      <color rgb="FFFFFF99"/>
      <color rgb="FFCC00CC"/>
      <color rgb="FF0000CC"/>
      <color rgb="FFFFCCFF"/>
      <color rgb="FFFFFFCC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9</xdr:row>
      <xdr:rowOff>161924</xdr:rowOff>
    </xdr:from>
    <xdr:to>
      <xdr:col>0</xdr:col>
      <xdr:colOff>1669745</xdr:colOff>
      <xdr:row>18</xdr:row>
      <xdr:rowOff>9524</xdr:rowOff>
    </xdr:to>
    <xdr:pic>
      <xdr:nvPicPr>
        <xdr:cNvPr id="2" name="Picture 1" descr="CadoMotus rám DualBox®5 4x1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" y="1876424"/>
          <a:ext cx="1622120" cy="132397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319926</xdr:colOff>
      <xdr:row>10</xdr:row>
      <xdr:rowOff>57534</xdr:rowOff>
    </xdr:from>
    <xdr:to>
      <xdr:col>19</xdr:col>
      <xdr:colOff>65222</xdr:colOff>
      <xdr:row>21</xdr:row>
      <xdr:rowOff>19050</xdr:rowOff>
    </xdr:to>
    <xdr:pic>
      <xdr:nvPicPr>
        <xdr:cNvPr id="2" name="Picture 1" descr="CadoMotus rám DualBox®5 4x1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8101" y="1829184"/>
          <a:ext cx="2088446" cy="1704591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sportt.cz/racesResults/resultlist/895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sportt.cz/racesResults/resultlist/895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U436"/>
  <sheetViews>
    <sheetView showGridLines="0" topLeftCell="A61" zoomScaleNormal="100" workbookViewId="0">
      <selection activeCell="Q63" sqref="Q63"/>
    </sheetView>
  </sheetViews>
  <sheetFormatPr defaultRowHeight="15"/>
  <cols>
    <col min="1" max="1" width="1.5703125" customWidth="1"/>
    <col min="2" max="2" width="10.140625" customWidth="1"/>
    <col min="3" max="3" width="5.42578125" customWidth="1"/>
    <col min="4" max="4" width="6.5703125" customWidth="1"/>
    <col min="5" max="5" width="17.42578125" customWidth="1"/>
    <col min="6" max="6" width="2" customWidth="1"/>
    <col min="7" max="7" width="23.140625" customWidth="1"/>
    <col min="8" max="8" width="9.42578125" style="16" customWidth="1"/>
    <col min="9" max="9" width="8.85546875" style="16" customWidth="1"/>
    <col min="10" max="10" width="9.140625" style="16" customWidth="1"/>
    <col min="11" max="11" width="9" style="16" customWidth="1"/>
    <col min="12" max="12" width="8.28515625" style="16" customWidth="1"/>
    <col min="13" max="13" width="10.140625" style="16" customWidth="1"/>
    <col min="14" max="14" width="9.42578125" style="16" customWidth="1"/>
    <col min="15" max="15" width="9.140625" style="16" customWidth="1"/>
    <col min="16" max="16" width="8.7109375" customWidth="1"/>
    <col min="17" max="17" width="8.140625" customWidth="1"/>
    <col min="18" max="18" width="10" bestFit="1" customWidth="1"/>
    <col min="19" max="19" width="0.7109375" customWidth="1"/>
    <col min="20" max="20" width="8.28515625" bestFit="1" customWidth="1"/>
    <col min="21" max="21" width="6.42578125" customWidth="1"/>
  </cols>
  <sheetData>
    <row r="2" spans="1:21" ht="23.25">
      <c r="D2" s="413" t="s">
        <v>1169</v>
      </c>
      <c r="I2" s="307"/>
      <c r="J2" s="20" t="s">
        <v>312</v>
      </c>
      <c r="O2"/>
    </row>
    <row r="3" spans="1:21">
      <c r="H3"/>
      <c r="I3" s="249"/>
      <c r="J3"/>
      <c r="K3"/>
      <c r="L3"/>
      <c r="M3"/>
      <c r="N3"/>
      <c r="O3"/>
    </row>
    <row r="4" spans="1:21">
      <c r="C4" s="370"/>
      <c r="D4" s="369" t="s">
        <v>0</v>
      </c>
      <c r="E4" s="12" t="s">
        <v>1</v>
      </c>
      <c r="F4" s="12"/>
      <c r="G4" s="12" t="s">
        <v>3</v>
      </c>
      <c r="H4" s="12" t="s">
        <v>5</v>
      </c>
      <c r="I4" s="308" t="s">
        <v>12</v>
      </c>
      <c r="J4" s="12" t="s">
        <v>1117</v>
      </c>
      <c r="K4" s="370"/>
    </row>
    <row r="5" spans="1:21">
      <c r="A5" s="363"/>
      <c r="D5" s="415" t="s">
        <v>1045</v>
      </c>
      <c r="E5" s="415">
        <v>200</v>
      </c>
      <c r="F5" s="416" t="s">
        <v>1133</v>
      </c>
      <c r="G5" s="417"/>
      <c r="H5" s="418"/>
      <c r="I5" s="419">
        <v>4.6261574074074073E-2</v>
      </c>
      <c r="J5" s="435"/>
      <c r="L5" s="253"/>
      <c r="M5" s="253"/>
      <c r="N5" s="253"/>
      <c r="O5" s="253"/>
      <c r="P5" s="253"/>
      <c r="Q5" s="253"/>
      <c r="R5" s="253"/>
      <c r="S5" s="253"/>
      <c r="T5" s="253"/>
      <c r="U5" s="253"/>
    </row>
    <row r="6" spans="1:21">
      <c r="A6" s="363"/>
      <c r="D6" s="415" t="s">
        <v>1047</v>
      </c>
      <c r="E6" s="415">
        <v>201</v>
      </c>
      <c r="F6" s="416" t="s">
        <v>1134</v>
      </c>
      <c r="G6" s="417"/>
      <c r="H6" s="418"/>
      <c r="I6" s="419">
        <v>5.7673611111111113E-2</v>
      </c>
      <c r="J6" s="421">
        <v>0.68472222222222223</v>
      </c>
      <c r="L6" s="253"/>
      <c r="M6" s="253"/>
      <c r="N6" s="253"/>
      <c r="O6" s="253"/>
      <c r="P6" s="253"/>
      <c r="Q6" s="253"/>
      <c r="R6" s="253"/>
      <c r="S6" s="253"/>
      <c r="T6" s="253"/>
      <c r="U6" s="253"/>
    </row>
    <row r="7" spans="1:21">
      <c r="A7" s="363"/>
      <c r="D7" s="415" t="s">
        <v>1049</v>
      </c>
      <c r="E7" s="415">
        <v>226</v>
      </c>
      <c r="F7" s="416"/>
      <c r="G7" s="417"/>
      <c r="H7" s="418"/>
      <c r="I7" s="419">
        <v>5.8020833333333334E-2</v>
      </c>
      <c r="J7" s="421">
        <v>0.7055555555555556</v>
      </c>
      <c r="L7" s="253"/>
      <c r="M7" s="253"/>
      <c r="N7" s="253"/>
      <c r="O7" s="253"/>
      <c r="P7" s="253"/>
      <c r="Q7" s="253"/>
      <c r="R7" s="253"/>
      <c r="S7" s="253"/>
      <c r="T7" s="253"/>
      <c r="U7" s="253"/>
    </row>
    <row r="8" spans="1:21">
      <c r="A8" s="363"/>
      <c r="D8" s="415" t="s">
        <v>1050</v>
      </c>
      <c r="E8" s="415">
        <v>218</v>
      </c>
      <c r="F8" s="416" t="s">
        <v>358</v>
      </c>
      <c r="G8" s="417"/>
      <c r="H8" s="418"/>
      <c r="I8" s="419">
        <v>5.8564814814814813E-2</v>
      </c>
      <c r="J8" s="421">
        <v>0.73819444444444438</v>
      </c>
      <c r="L8" s="253"/>
      <c r="M8" s="253"/>
      <c r="N8" s="253"/>
      <c r="O8" s="253"/>
      <c r="P8" s="253"/>
      <c r="Q8" s="253"/>
      <c r="R8" s="253"/>
      <c r="S8" s="253"/>
      <c r="T8" s="253"/>
      <c r="U8" s="253"/>
    </row>
    <row r="9" spans="1:21">
      <c r="A9" s="363"/>
      <c r="D9" s="415" t="s">
        <v>1052</v>
      </c>
      <c r="E9" s="415">
        <v>228</v>
      </c>
      <c r="F9" s="416"/>
      <c r="G9" s="417"/>
      <c r="H9" s="418"/>
      <c r="I9" s="419">
        <v>5.9641203703703703E-2</v>
      </c>
      <c r="J9" s="421">
        <v>0.8027777777777777</v>
      </c>
      <c r="L9" s="253"/>
      <c r="M9" s="253"/>
      <c r="N9" s="253"/>
      <c r="O9" s="253"/>
      <c r="P9" s="253"/>
      <c r="Q9" s="253"/>
      <c r="R9" s="253"/>
      <c r="S9" s="253"/>
      <c r="T9" s="253"/>
      <c r="U9" s="253"/>
    </row>
    <row r="10" spans="1:21">
      <c r="A10" s="363"/>
      <c r="D10" s="415" t="s">
        <v>1053</v>
      </c>
      <c r="E10" s="415">
        <v>246</v>
      </c>
      <c r="F10" s="416" t="s">
        <v>526</v>
      </c>
      <c r="G10" s="417"/>
      <c r="H10" s="418"/>
      <c r="I10" s="419">
        <v>6.0335648148148145E-2</v>
      </c>
      <c r="J10" s="421">
        <v>0.84444444444444444</v>
      </c>
      <c r="L10" s="253"/>
      <c r="M10" s="253"/>
      <c r="N10" s="253"/>
      <c r="O10" s="253"/>
      <c r="P10" s="253"/>
      <c r="Q10" s="253"/>
      <c r="R10" s="253"/>
      <c r="S10" s="253"/>
      <c r="T10" s="253"/>
      <c r="U10" s="253"/>
    </row>
    <row r="11" spans="1:21">
      <c r="A11" s="363"/>
      <c r="D11" s="415" t="s">
        <v>1055</v>
      </c>
      <c r="E11" s="415">
        <v>233</v>
      </c>
      <c r="F11" s="416"/>
      <c r="G11" s="417"/>
      <c r="H11" s="418"/>
      <c r="I11" s="419">
        <v>6.2303240740740735E-2</v>
      </c>
      <c r="J11" s="421">
        <v>0.96250000000000002</v>
      </c>
      <c r="L11" s="253"/>
      <c r="M11" s="253"/>
      <c r="N11" s="253"/>
      <c r="O11" s="253"/>
      <c r="P11" s="253"/>
      <c r="Q11" s="253"/>
      <c r="R11" s="253"/>
      <c r="S11" s="253"/>
      <c r="T11" s="253"/>
      <c r="U11" s="253"/>
    </row>
    <row r="12" spans="1:21">
      <c r="A12" s="363"/>
      <c r="D12" s="415" t="s">
        <v>1057</v>
      </c>
      <c r="E12" s="415">
        <v>225</v>
      </c>
      <c r="F12" s="416"/>
      <c r="G12" s="417"/>
      <c r="H12" s="418"/>
      <c r="I12" s="419">
        <v>6.491898148148148E-2</v>
      </c>
      <c r="J12" s="422">
        <v>1.1194444444444445</v>
      </c>
      <c r="L12" s="253"/>
      <c r="M12" s="253"/>
      <c r="N12" s="253"/>
      <c r="O12" s="253"/>
      <c r="P12" s="253"/>
      <c r="Q12" s="253"/>
      <c r="R12" s="253"/>
      <c r="S12" s="253"/>
      <c r="T12" s="253"/>
      <c r="U12" s="253"/>
    </row>
    <row r="13" spans="1:21">
      <c r="A13" s="363"/>
      <c r="D13" s="415" t="s">
        <v>1059</v>
      </c>
      <c r="E13" s="415">
        <v>203</v>
      </c>
      <c r="F13" s="416" t="s">
        <v>171</v>
      </c>
      <c r="G13" s="417"/>
      <c r="H13" s="418"/>
      <c r="I13" s="419">
        <v>6.5462962962962959E-2</v>
      </c>
      <c r="J13" s="422">
        <v>1.1520833333333333</v>
      </c>
      <c r="L13" s="253"/>
      <c r="M13" s="253"/>
      <c r="N13" s="253"/>
      <c r="O13" s="253"/>
      <c r="P13" s="253"/>
      <c r="Q13" s="253"/>
      <c r="R13" s="253"/>
      <c r="S13" s="253"/>
      <c r="T13" s="253"/>
      <c r="U13" s="253"/>
    </row>
    <row r="14" spans="1:21">
      <c r="A14" s="363"/>
      <c r="D14" s="415" t="s">
        <v>1061</v>
      </c>
      <c r="E14" s="415">
        <v>202</v>
      </c>
      <c r="F14" s="416" t="s">
        <v>1135</v>
      </c>
      <c r="G14" s="417"/>
      <c r="H14" s="418"/>
      <c r="I14" s="419">
        <v>6.5798611111111113E-2</v>
      </c>
      <c r="J14" s="422">
        <v>1.1722222222222223</v>
      </c>
      <c r="L14" s="253"/>
      <c r="M14" s="253"/>
      <c r="N14" s="253"/>
      <c r="O14" s="253"/>
      <c r="P14" s="253"/>
      <c r="Q14" s="253"/>
      <c r="R14" s="253"/>
      <c r="S14" s="253"/>
      <c r="T14" s="253"/>
      <c r="U14" s="253"/>
    </row>
    <row r="15" spans="1:21">
      <c r="A15" s="363"/>
      <c r="D15" s="415" t="s">
        <v>1063</v>
      </c>
      <c r="E15" s="415">
        <v>247</v>
      </c>
      <c r="F15" s="416" t="s">
        <v>1136</v>
      </c>
      <c r="G15" s="417"/>
      <c r="H15" s="418"/>
      <c r="I15" s="419">
        <v>6.5833333333333341E-2</v>
      </c>
      <c r="J15" s="422">
        <v>1.1743055555555555</v>
      </c>
      <c r="L15" s="253"/>
      <c r="M15" s="253"/>
      <c r="N15" s="253"/>
      <c r="O15" s="253"/>
      <c r="P15" s="253"/>
      <c r="Q15" s="253"/>
      <c r="R15" s="253"/>
      <c r="S15" s="253"/>
      <c r="T15" s="253"/>
      <c r="U15" s="253"/>
    </row>
    <row r="16" spans="1:21">
      <c r="A16" s="363"/>
      <c r="D16" s="415" t="s">
        <v>1065</v>
      </c>
      <c r="E16" s="415">
        <v>207</v>
      </c>
      <c r="F16" s="416" t="s">
        <v>380</v>
      </c>
      <c r="G16" s="417"/>
      <c r="H16" s="418"/>
      <c r="I16" s="419">
        <v>6.6608796296296291E-2</v>
      </c>
      <c r="J16" s="422">
        <v>1.2208333333333334</v>
      </c>
      <c r="L16" s="253"/>
      <c r="M16" s="253"/>
      <c r="N16" s="253"/>
      <c r="O16" s="253"/>
      <c r="P16" s="253"/>
      <c r="Q16" s="253"/>
      <c r="R16" s="253"/>
      <c r="S16" s="253"/>
      <c r="T16" s="253"/>
      <c r="U16" s="253"/>
    </row>
    <row r="17" spans="1:21">
      <c r="A17" s="363"/>
      <c r="D17" s="415" t="s">
        <v>1067</v>
      </c>
      <c r="E17" s="415">
        <v>274</v>
      </c>
      <c r="F17" s="416" t="s">
        <v>1137</v>
      </c>
      <c r="G17" s="417"/>
      <c r="H17" s="418"/>
      <c r="I17" s="419">
        <v>6.7511574074074085E-2</v>
      </c>
      <c r="J17" s="422">
        <v>1.2750000000000001</v>
      </c>
      <c r="L17" s="253"/>
      <c r="M17" s="253"/>
      <c r="N17" s="253"/>
      <c r="O17" s="253"/>
      <c r="P17" s="253"/>
      <c r="Q17" s="253"/>
      <c r="R17" s="253"/>
      <c r="S17" s="253"/>
      <c r="T17" s="253"/>
      <c r="U17" s="253"/>
    </row>
    <row r="18" spans="1:21">
      <c r="A18" s="363"/>
      <c r="B18" s="371"/>
      <c r="C18" s="371"/>
      <c r="D18" s="423" t="s">
        <v>1068</v>
      </c>
      <c r="E18" s="423">
        <v>217</v>
      </c>
      <c r="F18" s="424" t="s">
        <v>127</v>
      </c>
      <c r="G18" s="425"/>
      <c r="H18" s="426"/>
      <c r="I18" s="427">
        <v>6.8113425925925938E-2</v>
      </c>
      <c r="J18" s="428">
        <v>1.3111111111111111</v>
      </c>
      <c r="K18" s="187"/>
      <c r="L18" s="253"/>
      <c r="M18" s="253"/>
      <c r="N18" s="253"/>
      <c r="O18" s="253"/>
      <c r="P18" s="253"/>
      <c r="Q18" s="253"/>
      <c r="R18" s="253"/>
      <c r="S18" s="253"/>
      <c r="T18" s="253"/>
      <c r="U18" s="253"/>
    </row>
    <row r="19" spans="1:21">
      <c r="A19" s="363"/>
      <c r="B19" s="157"/>
      <c r="C19" s="157"/>
      <c r="D19" s="429" t="s">
        <v>1070</v>
      </c>
      <c r="E19" s="429">
        <v>276</v>
      </c>
      <c r="F19" s="430" t="s">
        <v>1138</v>
      </c>
      <c r="G19" s="431"/>
      <c r="H19" s="432"/>
      <c r="I19" s="419">
        <v>6.8113425925925938E-2</v>
      </c>
      <c r="J19" s="433">
        <v>1.3111111111111111</v>
      </c>
      <c r="K19" s="135"/>
      <c r="L19" s="253"/>
      <c r="M19" s="253"/>
      <c r="N19" s="253"/>
      <c r="O19" s="253"/>
      <c r="P19" s="253"/>
      <c r="Q19" s="253"/>
      <c r="R19" s="253"/>
      <c r="S19" s="253"/>
      <c r="T19" s="253"/>
      <c r="U19" s="253"/>
    </row>
    <row r="20" spans="1:21">
      <c r="A20" s="363"/>
      <c r="B20" s="157"/>
      <c r="C20" s="157"/>
      <c r="D20" s="429" t="s">
        <v>1072</v>
      </c>
      <c r="E20" s="429">
        <v>277</v>
      </c>
      <c r="F20" s="430" t="s">
        <v>567</v>
      </c>
      <c r="G20" s="431"/>
      <c r="H20" s="432"/>
      <c r="I20" s="419">
        <v>6.9363425925925926E-2</v>
      </c>
      <c r="J20" s="422">
        <v>1.3861111111111111</v>
      </c>
      <c r="L20" s="253"/>
      <c r="M20" s="253"/>
      <c r="N20" s="253"/>
      <c r="O20" s="253"/>
      <c r="P20" s="253"/>
      <c r="Q20" s="253"/>
      <c r="R20" s="253"/>
      <c r="S20" s="253"/>
      <c r="T20" s="253"/>
      <c r="U20" s="253"/>
    </row>
    <row r="21" spans="1:21">
      <c r="A21" s="363"/>
      <c r="D21" s="415" t="s">
        <v>1073</v>
      </c>
      <c r="E21" s="415">
        <v>209</v>
      </c>
      <c r="F21" s="416" t="s">
        <v>788</v>
      </c>
      <c r="G21" s="417"/>
      <c r="H21" s="418"/>
      <c r="I21" s="419">
        <v>6.9594907407407411E-2</v>
      </c>
      <c r="J21" s="422">
        <v>1.4000000000000001</v>
      </c>
      <c r="L21" s="253"/>
      <c r="M21" s="253"/>
      <c r="N21" s="253"/>
      <c r="O21" s="253"/>
      <c r="P21" s="253"/>
      <c r="Q21" s="253"/>
      <c r="R21" s="253"/>
      <c r="S21" s="253"/>
      <c r="T21" s="253"/>
      <c r="U21" s="253"/>
    </row>
    <row r="22" spans="1:21">
      <c r="A22" s="363"/>
      <c r="D22" s="415" t="s">
        <v>1075</v>
      </c>
      <c r="E22" s="415">
        <v>275</v>
      </c>
      <c r="F22" s="416" t="s">
        <v>713</v>
      </c>
      <c r="G22" s="417"/>
      <c r="H22" s="418"/>
      <c r="I22" s="419">
        <v>7.0532407407407405E-2</v>
      </c>
      <c r="J22" s="422">
        <v>1.45625</v>
      </c>
      <c r="L22" s="253"/>
      <c r="M22" s="253"/>
      <c r="N22" s="253"/>
      <c r="O22" s="253"/>
      <c r="P22" s="253"/>
      <c r="Q22" s="253"/>
      <c r="R22" s="253"/>
      <c r="S22" s="253"/>
      <c r="T22" s="253"/>
      <c r="U22" s="253"/>
    </row>
    <row r="23" spans="1:21">
      <c r="A23" s="363"/>
      <c r="D23" s="415" t="s">
        <v>1076</v>
      </c>
      <c r="E23" s="415">
        <v>204</v>
      </c>
      <c r="F23" s="416" t="s">
        <v>1139</v>
      </c>
      <c r="G23" s="417"/>
      <c r="H23" s="418"/>
      <c r="I23" s="419">
        <v>7.2233796296296296E-2</v>
      </c>
      <c r="J23" s="422">
        <v>1.5583333333333333</v>
      </c>
      <c r="L23" s="253"/>
      <c r="M23" s="253"/>
      <c r="N23" s="253"/>
      <c r="O23" s="253"/>
      <c r="P23" s="253"/>
      <c r="Q23" s="253"/>
      <c r="R23" s="253"/>
      <c r="S23" s="253"/>
      <c r="T23" s="253"/>
      <c r="U23" s="253"/>
    </row>
    <row r="24" spans="1:21">
      <c r="A24" s="363"/>
      <c r="D24" s="415" t="s">
        <v>1078</v>
      </c>
      <c r="E24" s="415">
        <v>221</v>
      </c>
      <c r="F24" s="416" t="s">
        <v>1112</v>
      </c>
      <c r="G24" s="417"/>
      <c r="H24" s="418"/>
      <c r="I24" s="419">
        <v>7.2303240740740737E-2</v>
      </c>
      <c r="J24" s="422">
        <v>1.5625</v>
      </c>
      <c r="L24" s="253"/>
      <c r="M24" s="253"/>
      <c r="N24" s="253"/>
      <c r="O24" s="253"/>
      <c r="P24" s="253"/>
      <c r="Q24" s="253"/>
      <c r="R24" s="253"/>
      <c r="S24" s="253"/>
      <c r="T24" s="253"/>
      <c r="U24" s="253"/>
    </row>
    <row r="25" spans="1:21">
      <c r="A25" s="363"/>
      <c r="D25" s="415" t="s">
        <v>1080</v>
      </c>
      <c r="E25" s="415">
        <v>210</v>
      </c>
      <c r="F25" s="416" t="s">
        <v>1140</v>
      </c>
      <c r="G25" s="417"/>
      <c r="H25" s="418"/>
      <c r="I25" s="419">
        <v>7.2488425925925928E-2</v>
      </c>
      <c r="J25" s="422">
        <v>1.5736111111111111</v>
      </c>
      <c r="L25" s="253"/>
      <c r="M25" s="253"/>
      <c r="N25" s="253"/>
      <c r="O25" s="253"/>
      <c r="P25" s="253"/>
      <c r="Q25" s="253"/>
      <c r="R25" s="253"/>
      <c r="S25" s="253"/>
      <c r="T25" s="253"/>
      <c r="U25" s="253"/>
    </row>
    <row r="26" spans="1:21">
      <c r="A26" s="363"/>
      <c r="D26" s="415" t="s">
        <v>1081</v>
      </c>
      <c r="E26" s="415">
        <v>236</v>
      </c>
      <c r="F26" s="416"/>
      <c r="G26" s="417"/>
      <c r="H26" s="418"/>
      <c r="I26" s="419">
        <v>7.2638888888888892E-2</v>
      </c>
      <c r="J26" s="422">
        <v>1.5826388888888889</v>
      </c>
      <c r="L26" s="253"/>
      <c r="M26" s="253"/>
      <c r="N26" s="253"/>
      <c r="O26" s="253"/>
      <c r="P26" s="253"/>
      <c r="Q26" s="253"/>
      <c r="R26" s="253"/>
      <c r="S26" s="253"/>
      <c r="T26" s="253"/>
      <c r="U26" s="253"/>
    </row>
    <row r="27" spans="1:21">
      <c r="A27" s="363"/>
      <c r="D27" s="415" t="s">
        <v>1083</v>
      </c>
      <c r="E27" s="415">
        <v>223</v>
      </c>
      <c r="F27" s="416"/>
      <c r="G27" s="417"/>
      <c r="H27" s="418"/>
      <c r="I27" s="419">
        <v>7.3344907407407414E-2</v>
      </c>
      <c r="J27" s="422">
        <v>1.625</v>
      </c>
      <c r="L27" s="253"/>
      <c r="M27" s="253"/>
      <c r="N27" s="253"/>
      <c r="O27" s="253"/>
      <c r="P27" s="253"/>
      <c r="Q27" s="253"/>
      <c r="R27" s="253"/>
      <c r="S27" s="253"/>
      <c r="T27" s="253"/>
      <c r="U27" s="253"/>
    </row>
    <row r="28" spans="1:21">
      <c r="A28" s="363"/>
      <c r="D28" s="415" t="s">
        <v>1084</v>
      </c>
      <c r="E28" s="415">
        <v>235</v>
      </c>
      <c r="F28" s="416"/>
      <c r="G28" s="417"/>
      <c r="H28" s="418"/>
      <c r="I28" s="419">
        <v>7.3969907407407401E-2</v>
      </c>
      <c r="J28" s="422">
        <v>1.6624999999999999</v>
      </c>
      <c r="L28" s="253"/>
      <c r="M28" s="253"/>
      <c r="N28" s="253"/>
      <c r="O28" s="253"/>
      <c r="P28" s="253"/>
      <c r="Q28" s="253"/>
      <c r="R28" s="253"/>
      <c r="S28" s="253"/>
      <c r="T28" s="253"/>
      <c r="U28" s="253"/>
    </row>
    <row r="29" spans="1:21">
      <c r="A29" s="363"/>
      <c r="D29" s="415" t="s">
        <v>1085</v>
      </c>
      <c r="E29" s="415">
        <v>215</v>
      </c>
      <c r="F29" s="416" t="s">
        <v>1141</v>
      </c>
      <c r="G29" s="417"/>
      <c r="H29" s="418"/>
      <c r="I29" s="419">
        <v>7.4375000000000011E-2</v>
      </c>
      <c r="J29" s="422">
        <v>1.6868055555555557</v>
      </c>
      <c r="L29" s="253"/>
      <c r="M29" s="253"/>
      <c r="N29" s="253"/>
      <c r="O29" s="253"/>
      <c r="P29" s="253"/>
      <c r="Q29" s="253"/>
      <c r="R29" s="253"/>
      <c r="S29" s="253"/>
      <c r="T29" s="253"/>
      <c r="U29" s="253"/>
    </row>
    <row r="30" spans="1:21">
      <c r="A30" s="363"/>
      <c r="D30" s="415" t="s">
        <v>1087</v>
      </c>
      <c r="E30" s="415">
        <v>208</v>
      </c>
      <c r="F30" s="416" t="s">
        <v>1142</v>
      </c>
      <c r="G30" s="417"/>
      <c r="H30" s="418"/>
      <c r="I30" s="419">
        <v>7.4780092592592592E-2</v>
      </c>
      <c r="J30" s="422">
        <v>1.7111111111111112</v>
      </c>
      <c r="L30" s="253"/>
      <c r="M30" s="253"/>
      <c r="N30" s="253"/>
      <c r="O30" s="253"/>
      <c r="P30" s="253"/>
      <c r="Q30" s="253"/>
      <c r="R30" s="253"/>
      <c r="S30" s="253"/>
      <c r="T30" s="253"/>
      <c r="U30" s="253"/>
    </row>
    <row r="31" spans="1:21">
      <c r="A31" s="363"/>
      <c r="D31" s="415" t="s">
        <v>1088</v>
      </c>
      <c r="E31" s="415">
        <v>212</v>
      </c>
      <c r="F31" s="416" t="s">
        <v>803</v>
      </c>
      <c r="G31" s="417"/>
      <c r="H31" s="418"/>
      <c r="I31" s="419">
        <v>7.4930555555555556E-2</v>
      </c>
      <c r="J31" s="422">
        <v>1.7201388888888889</v>
      </c>
      <c r="L31" s="253"/>
      <c r="M31" s="253"/>
      <c r="N31" s="253"/>
      <c r="O31" s="253"/>
      <c r="P31" s="253"/>
      <c r="Q31" s="253"/>
      <c r="R31" s="253"/>
      <c r="S31" s="253"/>
      <c r="T31" s="253"/>
      <c r="U31" s="253"/>
    </row>
    <row r="32" spans="1:21">
      <c r="A32" s="363"/>
      <c r="D32" s="415" t="s">
        <v>1089</v>
      </c>
      <c r="E32" s="415">
        <v>272</v>
      </c>
      <c r="F32" s="416" t="s">
        <v>819</v>
      </c>
      <c r="G32" s="417"/>
      <c r="H32" s="418"/>
      <c r="I32" s="419">
        <v>7.4999999999999997E-2</v>
      </c>
      <c r="J32" s="422">
        <v>1.7243055555555555</v>
      </c>
      <c r="L32" s="253"/>
      <c r="M32" s="253"/>
      <c r="N32" s="253"/>
      <c r="O32" s="253"/>
      <c r="P32" s="253"/>
      <c r="Q32" s="253"/>
      <c r="R32" s="253"/>
      <c r="S32" s="253"/>
      <c r="T32" s="253"/>
      <c r="U32" s="253"/>
    </row>
    <row r="33" spans="1:21">
      <c r="A33" s="363"/>
      <c r="D33" s="415" t="s">
        <v>1091</v>
      </c>
      <c r="E33" s="415">
        <v>222</v>
      </c>
      <c r="F33" s="416"/>
      <c r="G33" s="417"/>
      <c r="H33" s="418"/>
      <c r="I33" s="419">
        <v>7.5775462962962961E-2</v>
      </c>
      <c r="J33" s="422">
        <v>1.7708333333333333</v>
      </c>
      <c r="L33" s="253"/>
      <c r="M33" s="253"/>
      <c r="N33" s="253"/>
      <c r="O33" s="253"/>
      <c r="P33" s="253"/>
      <c r="Q33" s="253"/>
      <c r="R33" s="253"/>
      <c r="S33" s="253"/>
      <c r="T33" s="253"/>
      <c r="U33" s="253"/>
    </row>
    <row r="34" spans="1:21">
      <c r="A34" s="363"/>
      <c r="D34" s="415" t="s">
        <v>1092</v>
      </c>
      <c r="E34" s="415">
        <v>206</v>
      </c>
      <c r="F34" s="416" t="s">
        <v>1143</v>
      </c>
      <c r="G34" s="417"/>
      <c r="H34" s="418"/>
      <c r="I34" s="419">
        <v>7.6249999999999998E-2</v>
      </c>
      <c r="J34" s="422">
        <v>1.7993055555555555</v>
      </c>
      <c r="L34" s="253"/>
      <c r="M34" s="253"/>
      <c r="N34" s="253"/>
      <c r="O34" s="253"/>
      <c r="P34" s="253"/>
      <c r="Q34" s="253"/>
      <c r="R34" s="253"/>
      <c r="S34" s="253"/>
      <c r="T34" s="253"/>
      <c r="U34" s="253"/>
    </row>
    <row r="35" spans="1:21">
      <c r="A35" s="363"/>
      <c r="D35" s="415" t="s">
        <v>1093</v>
      </c>
      <c r="E35" s="415">
        <v>224</v>
      </c>
      <c r="F35" s="416"/>
      <c r="G35" s="417"/>
      <c r="H35" s="418"/>
      <c r="I35" s="419">
        <v>7.6504629629629631E-2</v>
      </c>
      <c r="J35" s="422">
        <v>1.8145833333333332</v>
      </c>
      <c r="L35" s="253"/>
      <c r="M35" s="253"/>
      <c r="N35" s="253"/>
      <c r="O35" s="253"/>
      <c r="P35" s="253"/>
      <c r="Q35" s="253"/>
      <c r="R35" s="253"/>
      <c r="S35" s="253"/>
      <c r="T35" s="253"/>
      <c r="U35" s="253"/>
    </row>
    <row r="36" spans="1:21">
      <c r="A36" s="363"/>
      <c r="D36" s="415" t="s">
        <v>1094</v>
      </c>
      <c r="E36" s="415">
        <v>271</v>
      </c>
      <c r="F36" s="416" t="s">
        <v>649</v>
      </c>
      <c r="G36" s="417"/>
      <c r="H36" s="418"/>
      <c r="I36" s="419">
        <v>7.6527777777777778E-2</v>
      </c>
      <c r="J36" s="422">
        <v>1.8159722222222223</v>
      </c>
      <c r="L36" s="253"/>
      <c r="M36" s="253"/>
      <c r="N36" s="253"/>
      <c r="O36" s="253"/>
      <c r="P36" s="253"/>
      <c r="Q36" s="253"/>
      <c r="R36" s="253"/>
      <c r="S36" s="253"/>
      <c r="T36" s="253"/>
      <c r="U36" s="253"/>
    </row>
    <row r="37" spans="1:21">
      <c r="A37" s="363"/>
      <c r="D37" s="415" t="s">
        <v>1095</v>
      </c>
      <c r="E37" s="415">
        <v>220</v>
      </c>
      <c r="F37" s="416" t="s">
        <v>1048</v>
      </c>
      <c r="G37" s="417"/>
      <c r="H37" s="418"/>
      <c r="I37" s="419">
        <v>7.857638888888889E-2</v>
      </c>
      <c r="J37" s="422">
        <v>1.9388888888888889</v>
      </c>
      <c r="L37" s="253"/>
      <c r="M37" s="253"/>
      <c r="N37" s="253"/>
      <c r="O37" s="253"/>
      <c r="P37" s="253"/>
      <c r="Q37" s="253"/>
      <c r="R37" s="253"/>
      <c r="S37" s="253"/>
      <c r="T37" s="253"/>
      <c r="U37" s="253"/>
    </row>
    <row r="38" spans="1:21">
      <c r="A38" s="363"/>
      <c r="D38" s="429" t="s">
        <v>1096</v>
      </c>
      <c r="E38" s="429">
        <v>230</v>
      </c>
      <c r="F38" s="430"/>
      <c r="G38" s="431"/>
      <c r="H38" s="432"/>
      <c r="I38" s="419">
        <v>7.8750000000000001E-2</v>
      </c>
      <c r="J38" s="433">
        <v>1.9493055555555554</v>
      </c>
      <c r="L38" s="253"/>
      <c r="M38" s="253"/>
      <c r="N38" s="253"/>
      <c r="O38" s="253"/>
      <c r="P38" s="253"/>
      <c r="Q38" s="253"/>
      <c r="R38" s="253"/>
      <c r="S38" s="253"/>
      <c r="T38" s="253"/>
      <c r="U38" s="253"/>
    </row>
    <row r="39" spans="1:21">
      <c r="A39" s="363"/>
      <c r="D39" s="415" t="s">
        <v>1097</v>
      </c>
      <c r="E39" s="415">
        <v>211</v>
      </c>
      <c r="F39" s="416" t="s">
        <v>1144</v>
      </c>
      <c r="G39" s="417"/>
      <c r="H39" s="418"/>
      <c r="I39" s="419">
        <v>7.8784722222222228E-2</v>
      </c>
      <c r="J39" s="422">
        <v>1.9513888888888891</v>
      </c>
      <c r="L39" s="253"/>
      <c r="M39" s="253"/>
      <c r="N39" s="253"/>
      <c r="O39" s="253"/>
      <c r="P39" s="253"/>
      <c r="Q39" s="253"/>
      <c r="R39" s="253"/>
      <c r="S39" s="253"/>
      <c r="T39" s="253"/>
      <c r="U39" s="253"/>
    </row>
    <row r="40" spans="1:21">
      <c r="A40" s="363"/>
      <c r="D40" s="415" t="s">
        <v>1099</v>
      </c>
      <c r="E40" s="415">
        <v>229</v>
      </c>
      <c r="F40" s="416"/>
      <c r="G40" s="417"/>
      <c r="H40" s="418"/>
      <c r="I40" s="419">
        <v>7.9224537037037038E-2</v>
      </c>
      <c r="J40" s="422">
        <v>1.9777777777777779</v>
      </c>
      <c r="L40" s="253"/>
      <c r="M40" s="253"/>
      <c r="N40" s="253"/>
      <c r="O40" s="253"/>
      <c r="P40" s="253"/>
      <c r="Q40" s="253"/>
      <c r="R40" s="253"/>
      <c r="S40" s="253"/>
      <c r="T40" s="253"/>
      <c r="U40" s="253"/>
    </row>
    <row r="41" spans="1:21">
      <c r="A41" s="363"/>
      <c r="D41" s="415" t="s">
        <v>1100</v>
      </c>
      <c r="E41" s="415">
        <v>213</v>
      </c>
      <c r="F41" s="416" t="s">
        <v>1145</v>
      </c>
      <c r="G41" s="417"/>
      <c r="H41" s="418"/>
      <c r="I41" s="419">
        <v>7.9687500000000008E-2</v>
      </c>
      <c r="J41" s="422">
        <v>2.0055555555555555</v>
      </c>
      <c r="L41" s="253"/>
      <c r="M41" s="253"/>
      <c r="N41" s="253"/>
      <c r="O41" s="253"/>
      <c r="P41" s="253"/>
      <c r="Q41" s="253"/>
      <c r="R41" s="253"/>
      <c r="S41" s="253"/>
      <c r="T41" s="253"/>
      <c r="U41" s="253"/>
    </row>
    <row r="42" spans="1:21">
      <c r="A42" s="363"/>
      <c r="D42" s="415" t="s">
        <v>1102</v>
      </c>
      <c r="E42" s="415">
        <v>227</v>
      </c>
      <c r="F42" s="416"/>
      <c r="G42" s="417"/>
      <c r="H42" s="418"/>
      <c r="I42" s="419">
        <v>7.993055555555556E-2</v>
      </c>
      <c r="J42" s="422">
        <v>2.0201388888888889</v>
      </c>
      <c r="L42" s="253"/>
      <c r="M42" s="253"/>
      <c r="N42" s="253"/>
      <c r="O42" s="253"/>
      <c r="P42" s="253"/>
      <c r="Q42" s="253"/>
      <c r="R42" s="253"/>
      <c r="S42" s="253"/>
      <c r="T42" s="253"/>
      <c r="U42" s="253"/>
    </row>
    <row r="43" spans="1:21">
      <c r="A43" s="363"/>
      <c r="D43" s="415" t="s">
        <v>1103</v>
      </c>
      <c r="E43" s="415">
        <v>273</v>
      </c>
      <c r="F43" s="416" t="s">
        <v>1146</v>
      </c>
      <c r="G43" s="417"/>
      <c r="H43" s="418"/>
      <c r="I43" s="419">
        <v>8.1932870370370378E-2</v>
      </c>
      <c r="J43" s="422">
        <v>2.1402777777777779</v>
      </c>
      <c r="L43" s="253"/>
      <c r="M43" s="253"/>
      <c r="N43" s="253"/>
      <c r="O43" s="253"/>
      <c r="P43" s="253"/>
      <c r="Q43" s="253"/>
      <c r="R43" s="253"/>
      <c r="S43" s="253"/>
      <c r="T43" s="253"/>
      <c r="U43" s="253"/>
    </row>
    <row r="44" spans="1:21">
      <c r="A44" s="363"/>
      <c r="D44" s="415" t="s">
        <v>1105</v>
      </c>
      <c r="E44" s="415">
        <v>214</v>
      </c>
      <c r="F44" s="416" t="s">
        <v>386</v>
      </c>
      <c r="G44" s="417"/>
      <c r="H44" s="418"/>
      <c r="I44" s="419">
        <v>8.2233796296296291E-2</v>
      </c>
      <c r="J44" s="422">
        <v>2.1583333333333332</v>
      </c>
      <c r="L44" s="253"/>
      <c r="M44" s="253"/>
      <c r="N44" s="253"/>
      <c r="O44" s="253"/>
      <c r="P44" s="253"/>
      <c r="Q44" s="253"/>
      <c r="R44" s="253"/>
      <c r="S44" s="253"/>
      <c r="T44" s="253"/>
      <c r="U44" s="253"/>
    </row>
    <row r="45" spans="1:21">
      <c r="A45" s="363"/>
      <c r="D45" s="415" t="s">
        <v>1107</v>
      </c>
      <c r="E45" s="415">
        <v>216</v>
      </c>
      <c r="F45" s="416" t="s">
        <v>371</v>
      </c>
      <c r="G45" s="417"/>
      <c r="H45" s="418"/>
      <c r="I45" s="419">
        <v>8.324074074074074E-2</v>
      </c>
      <c r="J45" s="422">
        <v>2.21875</v>
      </c>
      <c r="L45" s="253"/>
      <c r="M45" s="253"/>
      <c r="N45" s="253"/>
      <c r="O45" s="253"/>
      <c r="P45" s="253"/>
      <c r="Q45" s="253"/>
      <c r="R45" s="253"/>
      <c r="S45" s="253"/>
      <c r="T45" s="253"/>
      <c r="U45" s="253"/>
    </row>
    <row r="46" spans="1:21">
      <c r="A46" s="363"/>
      <c r="D46" s="415" t="s">
        <v>1109</v>
      </c>
      <c r="E46" s="415">
        <v>205</v>
      </c>
      <c r="F46" s="416" t="s">
        <v>1147</v>
      </c>
      <c r="G46" s="417"/>
      <c r="H46" s="418"/>
      <c r="I46" s="419">
        <v>8.335648148148149E-2</v>
      </c>
      <c r="J46" s="422">
        <v>2.2256944444444442</v>
      </c>
      <c r="L46" s="253"/>
      <c r="M46" s="253"/>
      <c r="N46" s="253"/>
      <c r="O46" s="253"/>
      <c r="P46" s="253"/>
      <c r="Q46" s="253"/>
      <c r="R46" s="253"/>
      <c r="S46" s="253"/>
      <c r="T46" s="253"/>
      <c r="U46" s="253"/>
    </row>
    <row r="47" spans="1:21">
      <c r="A47" s="363"/>
      <c r="D47" s="415" t="s">
        <v>1111</v>
      </c>
      <c r="E47" s="415">
        <v>245</v>
      </c>
      <c r="F47" s="416" t="s">
        <v>1148</v>
      </c>
      <c r="G47" s="417"/>
      <c r="H47" s="418"/>
      <c r="I47" s="419">
        <v>8.3599537037037042E-2</v>
      </c>
      <c r="J47" s="422">
        <v>2.2402777777777776</v>
      </c>
      <c r="L47" s="253"/>
      <c r="M47" s="253"/>
      <c r="N47" s="253"/>
      <c r="O47" s="253"/>
      <c r="P47" s="253"/>
      <c r="Q47" s="253"/>
      <c r="R47" s="253"/>
      <c r="S47" s="253"/>
      <c r="T47" s="253"/>
      <c r="U47" s="253"/>
    </row>
    <row r="48" spans="1:21">
      <c r="A48" s="363"/>
      <c r="D48" s="415" t="s">
        <v>1113</v>
      </c>
      <c r="E48" s="415">
        <v>234</v>
      </c>
      <c r="F48" s="416"/>
      <c r="G48" s="417"/>
      <c r="H48" s="418"/>
      <c r="I48" s="419">
        <v>8.4097222222222226E-2</v>
      </c>
      <c r="J48" s="422">
        <v>2.2701388888888889</v>
      </c>
      <c r="L48" s="253"/>
      <c r="M48" s="253"/>
      <c r="N48" s="253"/>
      <c r="O48" s="253"/>
      <c r="P48" s="253"/>
      <c r="Q48" s="253"/>
      <c r="R48" s="253"/>
      <c r="S48" s="253"/>
      <c r="T48" s="253"/>
      <c r="U48" s="253"/>
    </row>
    <row r="49" spans="1:21">
      <c r="A49" s="363"/>
      <c r="B49" s="144"/>
      <c r="C49" s="144"/>
      <c r="D49" s="415" t="s">
        <v>1114</v>
      </c>
      <c r="E49" s="415">
        <v>205</v>
      </c>
      <c r="F49" s="434"/>
      <c r="G49" s="417"/>
      <c r="H49" s="420"/>
      <c r="I49" s="419">
        <v>8.7071759259259252E-2</v>
      </c>
      <c r="J49" s="422">
        <v>1.8375000000000001</v>
      </c>
      <c r="K49" s="253"/>
      <c r="L49" s="253"/>
      <c r="M49" s="253"/>
      <c r="N49" s="253"/>
      <c r="O49" s="253"/>
      <c r="P49" s="253"/>
      <c r="Q49" s="253"/>
      <c r="R49" s="253"/>
      <c r="S49" s="253"/>
      <c r="T49" s="253"/>
      <c r="U49" s="253"/>
    </row>
    <row r="50" spans="1:21">
      <c r="A50" s="363"/>
      <c r="B50" s="144"/>
      <c r="C50" s="144"/>
      <c r="D50" s="415" t="s">
        <v>1115</v>
      </c>
      <c r="E50" s="415">
        <v>211</v>
      </c>
      <c r="F50" s="434" t="s">
        <v>1116</v>
      </c>
      <c r="G50" s="417"/>
      <c r="H50" s="420"/>
      <c r="I50" s="419">
        <v>8.7696759259259252E-2</v>
      </c>
      <c r="J50" s="422">
        <v>1.875</v>
      </c>
      <c r="K50" s="253"/>
      <c r="L50" s="253"/>
      <c r="M50" s="253"/>
      <c r="N50" s="253"/>
      <c r="O50" s="253"/>
      <c r="P50" s="253"/>
      <c r="Q50" s="253"/>
      <c r="R50" s="253"/>
      <c r="S50" s="253"/>
      <c r="T50" s="253"/>
      <c r="U50" s="253"/>
    </row>
    <row r="51" spans="1:21" ht="15.75" thickBot="1">
      <c r="A51" s="363"/>
      <c r="F51" s="157"/>
      <c r="G51" s="145"/>
      <c r="H51" s="145"/>
      <c r="I51" s="436">
        <f>SUM(13*60+23)</f>
        <v>803</v>
      </c>
      <c r="J51" s="437">
        <f>SUM(15*60+10)</f>
        <v>910</v>
      </c>
      <c r="K51" s="437">
        <f>SUM(13*60+52)</f>
        <v>832</v>
      </c>
      <c r="L51" s="437">
        <f>SUM(12*60+51)</f>
        <v>771</v>
      </c>
      <c r="M51" s="437">
        <f>SUM(13*60+31)</f>
        <v>811</v>
      </c>
      <c r="N51" s="437">
        <f>SUM(16*60+13)</f>
        <v>973</v>
      </c>
      <c r="O51" s="437">
        <f>SUM(13*60+5)</f>
        <v>785</v>
      </c>
      <c r="P51" s="380">
        <f>SUM(I51:O51)/(21.0975)-240</f>
        <v>38.943002725441374</v>
      </c>
      <c r="Q51" s="380"/>
      <c r="R51" s="253"/>
      <c r="S51" s="253"/>
      <c r="T51" s="253"/>
      <c r="U51" s="253"/>
    </row>
    <row r="52" spans="1:21">
      <c r="A52" s="363"/>
      <c r="B52" s="21" t="s">
        <v>1170</v>
      </c>
      <c r="F52" s="157"/>
      <c r="G52" s="69"/>
      <c r="H52" s="152" t="s">
        <v>282</v>
      </c>
      <c r="I52" s="381" t="s">
        <v>344</v>
      </c>
      <c r="J52" s="179" t="s">
        <v>1171</v>
      </c>
      <c r="K52" s="179" t="s">
        <v>1172</v>
      </c>
      <c r="L52" s="179" t="s">
        <v>467</v>
      </c>
      <c r="M52" s="179" t="s">
        <v>1173</v>
      </c>
      <c r="N52" s="179" t="s">
        <v>1173</v>
      </c>
      <c r="O52" s="179" t="s">
        <v>467</v>
      </c>
      <c r="P52" s="222" t="s">
        <v>1122</v>
      </c>
      <c r="Q52" s="380">
        <f>SUM(16+64+47+17+20)/5</f>
        <v>32.799999999999997</v>
      </c>
      <c r="S52" s="253"/>
      <c r="T52" s="253"/>
      <c r="U52" s="253"/>
    </row>
    <row r="53" spans="1:21">
      <c r="A53" s="363"/>
      <c r="B53" s="194" t="s">
        <v>309</v>
      </c>
      <c r="F53" s="157"/>
      <c r="G53" s="51" t="s">
        <v>293</v>
      </c>
      <c r="H53" s="153" t="s">
        <v>291</v>
      </c>
      <c r="I53" s="177" t="s">
        <v>266</v>
      </c>
      <c r="J53" s="121" t="s">
        <v>267</v>
      </c>
      <c r="K53" s="176" t="s">
        <v>268</v>
      </c>
      <c r="L53" s="121" t="s">
        <v>324</v>
      </c>
      <c r="M53" s="176" t="s">
        <v>341</v>
      </c>
      <c r="N53" s="176" t="s">
        <v>341</v>
      </c>
      <c r="O53" s="127" t="s">
        <v>324</v>
      </c>
      <c r="P53" s="223" t="s">
        <v>279</v>
      </c>
      <c r="Q53" s="351"/>
      <c r="S53" s="253"/>
      <c r="T53" s="253"/>
      <c r="U53" s="253"/>
    </row>
    <row r="54" spans="1:21">
      <c r="A54" s="363"/>
      <c r="B54" s="196" t="s">
        <v>1042</v>
      </c>
      <c r="C54" s="436">
        <f>SUM(16*60+14)</f>
        <v>974</v>
      </c>
      <c r="F54" s="157"/>
      <c r="G54" s="146">
        <v>2019</v>
      </c>
      <c r="H54" s="147" t="s">
        <v>269</v>
      </c>
      <c r="I54" s="382" t="s">
        <v>27</v>
      </c>
      <c r="J54" s="182" t="s">
        <v>239</v>
      </c>
      <c r="K54" s="182" t="s">
        <v>569</v>
      </c>
      <c r="L54" s="148" t="s">
        <v>120</v>
      </c>
      <c r="M54" s="182" t="s">
        <v>660</v>
      </c>
      <c r="N54" s="182" t="s">
        <v>1124</v>
      </c>
      <c r="O54" s="148" t="s">
        <v>491</v>
      </c>
      <c r="P54" s="150" t="s">
        <v>597</v>
      </c>
      <c r="Q54" s="151">
        <v>14</v>
      </c>
      <c r="S54" s="253"/>
      <c r="T54" s="253"/>
      <c r="U54" s="253"/>
    </row>
    <row r="55" spans="1:21" ht="15.75" thickBot="1">
      <c r="A55" s="363"/>
      <c r="B55" s="128" t="s">
        <v>1043</v>
      </c>
      <c r="C55" s="141" t="s">
        <v>803</v>
      </c>
      <c r="F55" s="157"/>
      <c r="G55" s="321" t="s">
        <v>1118</v>
      </c>
      <c r="H55" s="153" t="s">
        <v>270</v>
      </c>
      <c r="I55" s="414" t="s">
        <v>1126</v>
      </c>
      <c r="J55" s="130" t="s">
        <v>1127</v>
      </c>
      <c r="K55" s="130" t="s">
        <v>1131</v>
      </c>
      <c r="L55" s="130" t="s">
        <v>1129</v>
      </c>
      <c r="M55" s="130" t="s">
        <v>1130</v>
      </c>
      <c r="N55" s="130" t="s">
        <v>1132</v>
      </c>
      <c r="O55" s="130" t="s">
        <v>1128</v>
      </c>
      <c r="P55" s="221" t="s">
        <v>1125</v>
      </c>
      <c r="Q55" s="455" t="s">
        <v>1123</v>
      </c>
      <c r="S55" s="253"/>
      <c r="T55" s="253"/>
      <c r="U55" s="253"/>
    </row>
    <row r="56" spans="1:21" ht="15.75" thickBot="1">
      <c r="A56" s="363"/>
      <c r="B56" s="444">
        <f>SUM(3797.5/C54)*(12*60/1000)*22.351-11.228</f>
        <v>51.515433470225872</v>
      </c>
      <c r="C56" s="195" t="s">
        <v>311</v>
      </c>
      <c r="F56" s="157"/>
      <c r="G56" s="442">
        <v>3017.5</v>
      </c>
      <c r="H56" s="154" t="s">
        <v>311</v>
      </c>
      <c r="I56" s="383">
        <f>SUM(G57/I51)*(12*60/1000)*22.351-11.288</f>
        <v>48.65387486924034</v>
      </c>
      <c r="J56" s="384">
        <f>SUM(G56/J51)*(12*60/1000)*22.351-11.288</f>
        <v>42.074398461538465</v>
      </c>
      <c r="K56" s="74">
        <f>SUM(G56/K51)*(12*60/1000)*22.351-11.288</f>
        <v>47.077123317307695</v>
      </c>
      <c r="L56" s="74">
        <f>SUM(G56/L51)*(12*60/1000)*22.351-11.288</f>
        <v>51.694856809338518</v>
      </c>
      <c r="M56" s="74">
        <f>SUM(G56/M51)*(12*60/1000)*22.351-11.288</f>
        <v>48.588427373612816</v>
      </c>
      <c r="N56" s="74">
        <f>SUM(G56/N51)*(12*60/1000)*22.351-11.288</f>
        <v>38.619279136690636</v>
      </c>
      <c r="O56" s="74">
        <f>SUM(G56/O51)*(12*60/1000)*22.351-11.288</f>
        <v>50.571595668789797</v>
      </c>
      <c r="P56" s="380">
        <f>SUM(98*60+5)/(21097.5)*1000-240</f>
        <v>38.943002725441431</v>
      </c>
      <c r="Q56" s="441">
        <f>SUM(21.0975)/(98*60+5)*3600</f>
        <v>12.905862361937128</v>
      </c>
      <c r="S56" s="253"/>
      <c r="T56" s="253"/>
      <c r="U56" s="253"/>
    </row>
    <row r="57" spans="1:21">
      <c r="A57" s="363"/>
      <c r="F57" s="157"/>
      <c r="G57" s="443" t="s">
        <v>1119</v>
      </c>
      <c r="H57" s="256"/>
      <c r="I57" s="380">
        <f>SUM(I51)/G57*1000-240</f>
        <v>28.472082915412898</v>
      </c>
      <c r="J57" s="380">
        <f>SUM(J51)/G56*1000-300</f>
        <v>1.5741507870753821</v>
      </c>
      <c r="K57" s="380">
        <f>SUM(K51)/G56*1000-240</f>
        <v>35.724937862468948</v>
      </c>
      <c r="L57" s="438">
        <f>SUM(L51)/G56*1000-240</f>
        <v>15.509527754763866</v>
      </c>
      <c r="M57" s="438">
        <f>SUM(M51)/G56*1000-240</f>
        <v>28.765534382767157</v>
      </c>
      <c r="N57" s="438">
        <f>SUM(N51)/G56*1000-300</f>
        <v>22.452361226180585</v>
      </c>
      <c r="O57" s="438">
        <f>SUM(O51)/G56*1000-240</f>
        <v>20.149130074565051</v>
      </c>
      <c r="P57" s="439"/>
      <c r="Q57" s="440"/>
      <c r="S57" s="253"/>
      <c r="T57" s="253"/>
      <c r="U57" s="253"/>
    </row>
    <row r="58" spans="1:21">
      <c r="F58" s="157"/>
      <c r="S58" s="253"/>
      <c r="T58" s="253"/>
      <c r="U58" s="253"/>
    </row>
    <row r="59" spans="1:21" ht="15.75" thickBot="1">
      <c r="F59" s="157"/>
      <c r="G59" s="145"/>
      <c r="H59" s="145"/>
      <c r="I59" s="71">
        <f>SUM(13*60+23)</f>
        <v>803</v>
      </c>
      <c r="J59" s="258">
        <f>SUM(15*60+10)</f>
        <v>910</v>
      </c>
      <c r="K59" s="258">
        <f>SUM(13*60+52)</f>
        <v>832</v>
      </c>
      <c r="L59" s="258">
        <f>SUM(12*60+51)</f>
        <v>771</v>
      </c>
      <c r="M59" s="258">
        <f>SUM(13*60+31)</f>
        <v>811</v>
      </c>
      <c r="N59" s="258">
        <f>SUM(16*60+13)</f>
        <v>973</v>
      </c>
      <c r="O59" s="258">
        <f>SUM(13*60+5)</f>
        <v>785</v>
      </c>
      <c r="P59" s="114">
        <f>SUM(I59:O59)/(21.0975)-240</f>
        <v>38.943002725441374</v>
      </c>
      <c r="Q59" s="380"/>
      <c r="R59" s="391"/>
      <c r="S59" s="253"/>
      <c r="T59" s="253"/>
      <c r="U59" s="253"/>
    </row>
    <row r="60" spans="1:21">
      <c r="B60" s="21" t="s">
        <v>468</v>
      </c>
      <c r="F60" s="157"/>
      <c r="G60" s="69"/>
      <c r="H60" s="152" t="s">
        <v>282</v>
      </c>
      <c r="I60" s="381" t="s">
        <v>466</v>
      </c>
      <c r="J60" s="179" t="s">
        <v>1000</v>
      </c>
      <c r="K60" s="179" t="s">
        <v>300</v>
      </c>
      <c r="L60" s="179" t="s">
        <v>344</v>
      </c>
      <c r="M60" s="328" t="s">
        <v>1120</v>
      </c>
      <c r="N60" s="329" t="s">
        <v>1120</v>
      </c>
      <c r="O60" s="179" t="s">
        <v>344</v>
      </c>
      <c r="P60" s="222" t="s">
        <v>1122</v>
      </c>
      <c r="Q60" s="114">
        <f>SUM(15+63+46+16+19)/5</f>
        <v>31.8</v>
      </c>
      <c r="S60" s="253"/>
      <c r="T60" s="253"/>
      <c r="U60" s="253"/>
    </row>
    <row r="61" spans="1:21">
      <c r="B61" s="194" t="s">
        <v>309</v>
      </c>
      <c r="F61" s="157"/>
      <c r="G61" s="51" t="s">
        <v>293</v>
      </c>
      <c r="H61" s="153" t="s">
        <v>291</v>
      </c>
      <c r="I61" s="177" t="s">
        <v>266</v>
      </c>
      <c r="J61" s="121" t="s">
        <v>267</v>
      </c>
      <c r="K61" s="176" t="s">
        <v>268</v>
      </c>
      <c r="L61" s="121" t="s">
        <v>324</v>
      </c>
      <c r="M61" s="330" t="s">
        <v>341</v>
      </c>
      <c r="N61" s="331" t="s">
        <v>341</v>
      </c>
      <c r="O61" s="127" t="s">
        <v>324</v>
      </c>
      <c r="P61" s="223" t="s">
        <v>279</v>
      </c>
      <c r="Q61" s="351"/>
      <c r="S61" s="253"/>
      <c r="T61" s="253"/>
      <c r="U61" s="253"/>
    </row>
    <row r="62" spans="1:21">
      <c r="B62" s="196" t="s">
        <v>1154</v>
      </c>
      <c r="C62" s="139">
        <f>SUM(105.57*60)/21097.5*1000</f>
        <v>300.23462495556345</v>
      </c>
      <c r="F62" s="157"/>
      <c r="G62" s="146">
        <v>2018</v>
      </c>
      <c r="H62" s="147" t="s">
        <v>269</v>
      </c>
      <c r="I62" s="382" t="s">
        <v>27</v>
      </c>
      <c r="J62" s="182" t="s">
        <v>239</v>
      </c>
      <c r="K62" s="182" t="s">
        <v>569</v>
      </c>
      <c r="L62" s="148" t="s">
        <v>120</v>
      </c>
      <c r="M62" s="332" t="s">
        <v>660</v>
      </c>
      <c r="N62" s="333" t="s">
        <v>1124</v>
      </c>
      <c r="O62" s="148" t="s">
        <v>491</v>
      </c>
      <c r="P62" s="150" t="s">
        <v>597</v>
      </c>
      <c r="Q62" s="151">
        <v>14</v>
      </c>
      <c r="U62" s="253"/>
    </row>
    <row r="63" spans="1:21" ht="15.75" thickBot="1">
      <c r="B63" s="128" t="s">
        <v>1151</v>
      </c>
      <c r="C63" s="409" t="s">
        <v>293</v>
      </c>
      <c r="F63" s="157"/>
      <c r="G63" s="321" t="s">
        <v>1118</v>
      </c>
      <c r="H63" s="153" t="s">
        <v>270</v>
      </c>
      <c r="I63" s="390" t="s">
        <v>1126</v>
      </c>
      <c r="J63" s="130" t="s">
        <v>1127</v>
      </c>
      <c r="K63" s="130" t="s">
        <v>1131</v>
      </c>
      <c r="L63" s="130" t="s">
        <v>1129</v>
      </c>
      <c r="M63" s="334" t="s">
        <v>1130</v>
      </c>
      <c r="N63" s="335" t="s">
        <v>1132</v>
      </c>
      <c r="O63" s="130" t="s">
        <v>1128</v>
      </c>
      <c r="P63" s="221" t="s">
        <v>1125</v>
      </c>
      <c r="Q63" s="455" t="s">
        <v>1184</v>
      </c>
      <c r="U63" s="253"/>
    </row>
    <row r="64" spans="1:21" ht="15.75" thickBot="1">
      <c r="B64" s="411" t="s">
        <v>1152</v>
      </c>
      <c r="C64" s="410" t="s">
        <v>270</v>
      </c>
      <c r="F64" s="157"/>
      <c r="G64" s="378">
        <v>3017.5</v>
      </c>
      <c r="H64" s="154" t="s">
        <v>311</v>
      </c>
      <c r="I64" s="383">
        <f>SUM(G65/I59)*(12*60/1000)*22.351-11.288</f>
        <v>48.65387486924034</v>
      </c>
      <c r="J64" s="384">
        <f>SUM(G64/J59)*(12*60/1000)*22.351-11.288</f>
        <v>42.074398461538465</v>
      </c>
      <c r="K64" s="74">
        <f>SUM(G64/K59)*(12*60/1000)*22.351-11.288</f>
        <v>47.077123317307695</v>
      </c>
      <c r="L64" s="74">
        <f>SUM(G64/L59)*(12*60/1000)*22.351-11.288</f>
        <v>51.694856809338518</v>
      </c>
      <c r="M64" s="74">
        <f>SUM(G64/M59)*(12*60/1000)*22.351-11.288</f>
        <v>48.588427373612816</v>
      </c>
      <c r="N64" s="74">
        <f>SUM(G64/N59)*(12*60/1000)*22.351-11.288</f>
        <v>38.619279136690636</v>
      </c>
      <c r="O64" s="74">
        <f>SUM(G64/O59)*(12*60/1000)*22.351-11.288</f>
        <v>50.571595668789797</v>
      </c>
      <c r="P64" s="114">
        <f>SUM(98*60+5)/(21097.5)*1000-240</f>
        <v>38.943002725441431</v>
      </c>
      <c r="Q64" s="72">
        <f>SUM(21.0975)/(98*60+5)*3600</f>
        <v>12.905862361937128</v>
      </c>
      <c r="S64" s="253"/>
      <c r="T64" s="253"/>
      <c r="U64" s="253"/>
    </row>
    <row r="65" spans="2:21">
      <c r="F65" s="157"/>
      <c r="G65" s="379" t="s">
        <v>1119</v>
      </c>
      <c r="H65" s="256"/>
      <c r="I65" s="114">
        <f>SUM(I59)/G65*1000-240</f>
        <v>28.472082915412898</v>
      </c>
      <c r="J65" s="114">
        <f>SUM(J59)/G64*1000-300</f>
        <v>1.5741507870753821</v>
      </c>
      <c r="K65" s="114">
        <f>SUM(K59)/G64*1000-240</f>
        <v>35.724937862468948</v>
      </c>
      <c r="L65" s="275">
        <f>SUM(L59)/G64*1000-240</f>
        <v>15.509527754763866</v>
      </c>
      <c r="M65" s="275">
        <f>SUM(M59)/G64*1000-240</f>
        <v>28.765534382767157</v>
      </c>
      <c r="N65" s="275">
        <f>SUM(N59)/G64*1000-300</f>
        <v>22.452361226180585</v>
      </c>
      <c r="O65" s="275">
        <f>SUM(O59)/G64*1000-240</f>
        <v>20.149130074565051</v>
      </c>
      <c r="P65" s="257"/>
      <c r="Q65" s="157"/>
      <c r="S65" s="253"/>
      <c r="T65" s="253"/>
      <c r="U65" s="253"/>
    </row>
    <row r="66" spans="2:21">
      <c r="F66" s="157"/>
      <c r="Q66" s="114">
        <f>SUM(63+62+45+15+18)/5</f>
        <v>40.6</v>
      </c>
      <c r="S66" s="253"/>
      <c r="T66" s="253"/>
      <c r="U66" s="253"/>
    </row>
    <row r="67" spans="2:21" ht="15.75" thickBot="1">
      <c r="B67" s="251"/>
      <c r="C67" s="251"/>
      <c r="D67" s="251"/>
      <c r="E67" s="353"/>
      <c r="F67" s="157"/>
      <c r="H67"/>
      <c r="I67" s="71">
        <f>SUM(19*60+5)</f>
        <v>1145</v>
      </c>
      <c r="J67" s="258">
        <f>SUM(18*60+9)</f>
        <v>1089</v>
      </c>
      <c r="K67" s="258">
        <f>SUM(17*60+22)</f>
        <v>1042</v>
      </c>
      <c r="L67" s="258">
        <f>SUM(17*60+22)</f>
        <v>1042</v>
      </c>
      <c r="M67" s="258">
        <f>SUM(14*60+40)</f>
        <v>880</v>
      </c>
      <c r="N67" s="258">
        <f>SUM(16*60+25)</f>
        <v>985</v>
      </c>
      <c r="O67" s="392"/>
      <c r="P67" s="181">
        <f>SUM(I67:N67)/(21.0975)-240</f>
        <v>53.06789904017063</v>
      </c>
      <c r="Q67" s="114">
        <f>SUM(63+62+45+15+18)/5</f>
        <v>40.6</v>
      </c>
      <c r="U67" s="253"/>
    </row>
    <row r="68" spans="2:21">
      <c r="B68" s="21" t="s">
        <v>1026</v>
      </c>
      <c r="D68" s="251"/>
      <c r="E68" s="252"/>
      <c r="F68" s="157"/>
      <c r="G68" s="69"/>
      <c r="H68" s="268" t="s">
        <v>282</v>
      </c>
      <c r="I68" s="355" t="s">
        <v>1000</v>
      </c>
      <c r="J68" s="179" t="s">
        <v>1024</v>
      </c>
      <c r="K68" s="328" t="s">
        <v>1023</v>
      </c>
      <c r="L68" s="329" t="s">
        <v>1023</v>
      </c>
      <c r="M68" s="179" t="s">
        <v>466</v>
      </c>
      <c r="N68" s="178" t="s">
        <v>1022</v>
      </c>
      <c r="P68" s="319" t="s">
        <v>1150</v>
      </c>
      <c r="Q68" s="351"/>
      <c r="U68" s="253"/>
    </row>
    <row r="69" spans="2:21">
      <c r="B69" s="194" t="s">
        <v>309</v>
      </c>
      <c r="D69" s="251"/>
      <c r="E69" s="252"/>
      <c r="F69" s="157"/>
      <c r="G69" s="51" t="s">
        <v>293</v>
      </c>
      <c r="H69" s="269" t="s">
        <v>291</v>
      </c>
      <c r="I69" s="356" t="s">
        <v>1030</v>
      </c>
      <c r="J69" s="127" t="s">
        <v>267</v>
      </c>
      <c r="K69" s="330" t="s">
        <v>268</v>
      </c>
      <c r="L69" s="331" t="s">
        <v>268</v>
      </c>
      <c r="M69" s="127" t="s">
        <v>324</v>
      </c>
      <c r="N69" s="176" t="s">
        <v>341</v>
      </c>
      <c r="P69" s="270" t="s">
        <v>279</v>
      </c>
      <c r="Q69" s="151">
        <v>19</v>
      </c>
      <c r="U69" s="253"/>
    </row>
    <row r="70" spans="2:21">
      <c r="B70" s="196" t="s">
        <v>1042</v>
      </c>
      <c r="C70" s="71">
        <f>SUM(16*60+14)</f>
        <v>974</v>
      </c>
      <c r="D70" s="251"/>
      <c r="E70" s="252"/>
      <c r="F70" s="157"/>
      <c r="G70" s="146">
        <v>2017</v>
      </c>
      <c r="H70" s="147" t="s">
        <v>269</v>
      </c>
      <c r="I70" s="325" t="s">
        <v>798</v>
      </c>
      <c r="J70" s="148" t="s">
        <v>1036</v>
      </c>
      <c r="K70" s="332" t="s">
        <v>1029</v>
      </c>
      <c r="L70" s="333" t="s">
        <v>1029</v>
      </c>
      <c r="M70" s="148" t="s">
        <v>167</v>
      </c>
      <c r="N70" s="148" t="s">
        <v>691</v>
      </c>
      <c r="O70" s="151"/>
      <c r="P70" s="150" t="s">
        <v>1035</v>
      </c>
      <c r="Q70" s="455" t="s">
        <v>1183</v>
      </c>
      <c r="R70" s="108"/>
      <c r="U70" s="253"/>
    </row>
    <row r="71" spans="2:21" ht="15.75" thickBot="1">
      <c r="B71" s="128" t="s">
        <v>1043</v>
      </c>
      <c r="C71" s="141" t="s">
        <v>803</v>
      </c>
      <c r="D71" s="251"/>
      <c r="E71" s="252"/>
      <c r="F71" s="157"/>
      <c r="G71" s="321" t="s">
        <v>1027</v>
      </c>
      <c r="H71" s="269" t="s">
        <v>270</v>
      </c>
      <c r="I71" s="354" t="s">
        <v>1041</v>
      </c>
      <c r="J71" s="130" t="s">
        <v>1037</v>
      </c>
      <c r="K71" s="334" t="s">
        <v>1038</v>
      </c>
      <c r="L71" s="335" t="s">
        <v>1038</v>
      </c>
      <c r="M71" s="341" t="s">
        <v>1039</v>
      </c>
      <c r="N71" s="130" t="s">
        <v>1040</v>
      </c>
      <c r="O71" s="135"/>
      <c r="P71" s="320" t="s">
        <v>1034</v>
      </c>
      <c r="Q71" s="72">
        <f>SUM(21.0975)/(103*60+3)*3600</f>
        <v>12.283842794759824</v>
      </c>
      <c r="U71" s="253"/>
    </row>
    <row r="72" spans="2:21" ht="15.75" thickBot="1">
      <c r="B72" s="140">
        <f>SUM(3797.5/C70)*(12*60/1000)*22.351-11.228</f>
        <v>51.515433470225872</v>
      </c>
      <c r="C72" s="195" t="s">
        <v>311</v>
      </c>
      <c r="D72" s="251"/>
      <c r="E72" s="252"/>
      <c r="F72" s="157"/>
      <c r="G72" s="378">
        <v>3460</v>
      </c>
      <c r="H72" s="82" t="s">
        <v>311</v>
      </c>
      <c r="I72" s="326">
        <f>SUM(G73/I67)*(12*60/1000)*22.351-11.288</f>
        <v>42.085016768558944</v>
      </c>
      <c r="J72" s="74">
        <f>SUM(G72/J67)*(12*60/1000)*22.351-11.288</f>
        <v>39.842221487603297</v>
      </c>
      <c r="K72" s="74">
        <f>SUM(G72/K67)*(12*60/1000)*22.351-11.288</f>
        <v>42.148479078694805</v>
      </c>
      <c r="L72" s="74">
        <f>SUM(G72/L67)*(12*60/1000)*22.351-11.288</f>
        <v>42.148479078694805</v>
      </c>
      <c r="M72" s="74">
        <f>SUM(G72/M67)*(12*60/1000)*22.351-11.288</f>
        <v>51.985649090909078</v>
      </c>
      <c r="N72" s="74">
        <f>SUM(G72/N67)*(12*60/1000)*22.351-11.288</f>
        <v>45.240742335025374</v>
      </c>
      <c r="P72" s="181">
        <f>SUM(103*60+3)/(21097.5)*1000-240</f>
        <v>53.06789904017063</v>
      </c>
      <c r="Q72" s="157"/>
      <c r="U72" s="253"/>
    </row>
    <row r="73" spans="2:21">
      <c r="B73" s="114">
        <f>SUM(C70)/G73*1000-240</f>
        <v>16.484529295589198</v>
      </c>
      <c r="C73" s="254"/>
      <c r="D73" s="255"/>
      <c r="E73" s="157"/>
      <c r="F73" s="157"/>
      <c r="G73" s="379" t="s">
        <v>1028</v>
      </c>
      <c r="H73" s="256"/>
      <c r="I73" s="114">
        <f>SUM(I67)/G73*1000-300</f>
        <v>1.514154048716307</v>
      </c>
      <c r="J73" s="114">
        <f>SUM(J67)/G72*1000-300</f>
        <v>14.739884393063619</v>
      </c>
      <c r="K73" s="114">
        <f>SUM(K67)/G72*1000-300</f>
        <v>1.1560693641618514</v>
      </c>
      <c r="L73" s="114">
        <f>SUM(L67)/G72*1000-300</f>
        <v>1.1560693641618514</v>
      </c>
      <c r="M73" s="114">
        <f>SUM(M67)/G72*1000-240</f>
        <v>14.335260115606928</v>
      </c>
      <c r="N73" s="114">
        <f>SUM(N67)/G72*1000-240</f>
        <v>44.682080924855484</v>
      </c>
      <c r="O73" s="256"/>
      <c r="P73" s="257"/>
      <c r="U73" s="157"/>
    </row>
    <row r="74" spans="2:21" ht="15.75" thickBot="1">
      <c r="B74" s="3"/>
      <c r="C74" s="4"/>
      <c r="D74" s="2"/>
      <c r="H74" s="108"/>
      <c r="I74" s="71">
        <f>SUM(12*60+41)</f>
        <v>761</v>
      </c>
      <c r="J74" s="72">
        <f>SUM(12*60+50)</f>
        <v>770</v>
      </c>
      <c r="K74" s="258">
        <f>SUM(13*60+55)</f>
        <v>835</v>
      </c>
      <c r="L74" s="258">
        <f>SUM(15*60+37)</f>
        <v>937</v>
      </c>
      <c r="M74" s="258">
        <f>SUM(13*60+6)</f>
        <v>786</v>
      </c>
      <c r="N74" s="258">
        <f>SUM(13*60+37)</f>
        <v>817</v>
      </c>
      <c r="O74" s="258">
        <f>SUM(15*60+23)</f>
        <v>923</v>
      </c>
      <c r="P74" s="114">
        <f>SUM(I74:O74)/(21.0975)-240</f>
        <v>36.288659793814418</v>
      </c>
      <c r="Q74" s="114">
        <f>SUM(42+17+15+13+14+44+61)/7</f>
        <v>29.428571428571427</v>
      </c>
    </row>
    <row r="75" spans="2:21">
      <c r="B75" s="21" t="s">
        <v>1017</v>
      </c>
      <c r="E75" s="252"/>
      <c r="G75" s="259" t="s">
        <v>1025</v>
      </c>
      <c r="H75" s="268" t="s">
        <v>282</v>
      </c>
      <c r="I75" s="178" t="s">
        <v>288</v>
      </c>
      <c r="J75" s="178" t="s">
        <v>467</v>
      </c>
      <c r="K75" s="178" t="s">
        <v>466</v>
      </c>
      <c r="L75" s="178" t="s">
        <v>283</v>
      </c>
      <c r="M75" s="179" t="s">
        <v>287</v>
      </c>
      <c r="N75" s="179" t="s">
        <v>468</v>
      </c>
      <c r="O75" s="180" t="s">
        <v>284</v>
      </c>
      <c r="P75" s="319" t="s">
        <v>469</v>
      </c>
      <c r="Q75" s="37"/>
    </row>
    <row r="76" spans="2:21">
      <c r="B76" s="194" t="s">
        <v>309</v>
      </c>
      <c r="G76" s="51" t="s">
        <v>1002</v>
      </c>
      <c r="H76" s="269" t="s">
        <v>291</v>
      </c>
      <c r="I76" s="121" t="s">
        <v>309</v>
      </c>
      <c r="J76" s="176" t="s">
        <v>341</v>
      </c>
      <c r="K76" s="176" t="s">
        <v>264</v>
      </c>
      <c r="L76" s="177" t="s">
        <v>266</v>
      </c>
      <c r="M76" s="127" t="s">
        <v>324</v>
      </c>
      <c r="N76" s="176" t="s">
        <v>268</v>
      </c>
      <c r="O76" s="127" t="s">
        <v>267</v>
      </c>
      <c r="P76" s="270" t="s">
        <v>279</v>
      </c>
      <c r="Q76" s="151">
        <v>10</v>
      </c>
    </row>
    <row r="77" spans="2:21">
      <c r="B77" s="352" t="s">
        <v>560</v>
      </c>
      <c r="C77" s="340">
        <f>SUM(12*60+41)</f>
        <v>761</v>
      </c>
      <c r="G77" s="146">
        <v>2016</v>
      </c>
      <c r="H77" s="147" t="s">
        <v>269</v>
      </c>
      <c r="I77" s="148" t="s">
        <v>560</v>
      </c>
      <c r="J77" s="148" t="s">
        <v>307</v>
      </c>
      <c r="K77" s="148" t="s">
        <v>553</v>
      </c>
      <c r="L77" s="148" t="s">
        <v>215</v>
      </c>
      <c r="M77" s="148" t="s">
        <v>574</v>
      </c>
      <c r="N77" s="148" t="s">
        <v>575</v>
      </c>
      <c r="O77" s="148" t="s">
        <v>185</v>
      </c>
      <c r="P77" s="150" t="s">
        <v>576</v>
      </c>
      <c r="Q77" s="455" t="s">
        <v>1182</v>
      </c>
    </row>
    <row r="78" spans="2:21" ht="15.75" thickBot="1">
      <c r="B78" s="339" t="s">
        <v>944</v>
      </c>
      <c r="C78" s="141" t="s">
        <v>803</v>
      </c>
      <c r="G78" s="321" t="s">
        <v>446</v>
      </c>
      <c r="H78" s="269" t="s">
        <v>270</v>
      </c>
      <c r="I78" s="110" t="s">
        <v>944</v>
      </c>
      <c r="J78" s="130" t="s">
        <v>945</v>
      </c>
      <c r="K78" s="110" t="s">
        <v>946</v>
      </c>
      <c r="L78" s="110" t="s">
        <v>947</v>
      </c>
      <c r="M78" s="110" t="s">
        <v>948</v>
      </c>
      <c r="N78" s="130" t="s">
        <v>949</v>
      </c>
      <c r="O78" s="112" t="s">
        <v>950</v>
      </c>
      <c r="P78" s="320" t="s">
        <v>927</v>
      </c>
      <c r="Q78" s="72">
        <f>SUM(21.0975)/(97*60+6)*3600</f>
        <v>13.036560247167868</v>
      </c>
    </row>
    <row r="79" spans="2:21" ht="15.75" thickBot="1">
      <c r="B79" s="314">
        <f>SUM(G79/C77)*(12*60/1000)*22.351-11.228</f>
        <v>52.502448955059123</v>
      </c>
      <c r="C79" s="195" t="s">
        <v>311</v>
      </c>
      <c r="D79" s="323"/>
      <c r="G79" s="70">
        <v>3013.7150000000001</v>
      </c>
      <c r="H79" s="82" t="s">
        <v>311</v>
      </c>
      <c r="I79" s="74">
        <f>SUM(G79/I74)*(12*60/1000)*22.351-11.288</f>
        <v>52.44244895505912</v>
      </c>
      <c r="J79" s="74">
        <f>SUM(G79/J74)*(12*60/1000)*22.351-11.288</f>
        <v>51.697547603636366</v>
      </c>
      <c r="K79" s="74">
        <f>SUM(G79/K74)*(12*60/1000)*22.351-11.288</f>
        <v>46.794481023712578</v>
      </c>
      <c r="L79" s="74">
        <f>SUM(G79/L74)*(12*60/1000)*22.351-11.288</f>
        <v>40.471734957097112</v>
      </c>
      <c r="M79" s="74">
        <f>SUM(G79/M74)*(12*60/1000)*22.351-11.288</f>
        <v>50.415399051908395</v>
      </c>
      <c r="N79" s="74">
        <f>SUM(G79/N74)*(12*60/1000)*22.351-11.288</f>
        <v>48.074144008323131</v>
      </c>
      <c r="O79" s="74">
        <f>SUM(G79/O74)*(12*60/1000)*22.351-11.288</f>
        <v>41.256823027952322</v>
      </c>
      <c r="P79" s="327">
        <f>SUM(97*60+6)/(3013.715*7)*1000-240</f>
        <v>36.166032383856589</v>
      </c>
    </row>
    <row r="80" spans="2:21">
      <c r="B80" s="114">
        <f>SUM(C77)/G79*1000-240</f>
        <v>12.512264762925497</v>
      </c>
      <c r="C80" s="4"/>
      <c r="D80" s="2"/>
      <c r="H80" s="107"/>
      <c r="I80" s="114">
        <f>SUM(I74)/G79*1000-240</f>
        <v>12.512264762925497</v>
      </c>
      <c r="J80" s="114">
        <f>SUM(J74)/G79*1000-240</f>
        <v>15.498612177992925</v>
      </c>
      <c r="K80" s="114">
        <f>SUM(K74)/G79*1000-240</f>
        <v>37.066676842368963</v>
      </c>
      <c r="L80" s="114">
        <f>SUM(L74)/G79*1000-300</f>
        <v>10.911947546466706</v>
      </c>
      <c r="M80" s="114">
        <f>SUM(M74)/G79*1000-240</f>
        <v>20.807674249223965</v>
      </c>
      <c r="N80" s="114">
        <f>SUM(N74)/G79*1000-240</f>
        <v>31.093982012234051</v>
      </c>
      <c r="O80" s="114">
        <f>SUM(O74)/G79*1000-300</f>
        <v>6.2665182341395962</v>
      </c>
      <c r="P80" s="108"/>
    </row>
    <row r="81" spans="2:19" ht="15.75" thickBot="1">
      <c r="B81" s="3"/>
      <c r="C81" s="4"/>
      <c r="D81" s="2"/>
      <c r="H81" s="108"/>
      <c r="I81" s="324">
        <f>SUM(17*60+35)</f>
        <v>1055</v>
      </c>
      <c r="J81" s="72">
        <f>SUM(18*60+14)</f>
        <v>1094</v>
      </c>
      <c r="K81" s="258">
        <f>SUM(18*60+12)</f>
        <v>1092</v>
      </c>
      <c r="L81" s="258">
        <f>SUM(17*60+15)</f>
        <v>1035</v>
      </c>
      <c r="M81" s="258">
        <f>SUM(17*60+30)</f>
        <v>1050</v>
      </c>
      <c r="N81" s="258">
        <f>SUM(17*60+50)</f>
        <v>1070</v>
      </c>
      <c r="O81" s="258">
        <f>SUM(17*60+18)</f>
        <v>1038</v>
      </c>
      <c r="P81" s="114">
        <f>SUM(I81:O81)/(21.0975)-300</f>
        <v>52.364024173480288</v>
      </c>
      <c r="Q81" s="114">
        <f>SUM(63+16)/2</f>
        <v>39.5</v>
      </c>
    </row>
    <row r="82" spans="2:19">
      <c r="G82" s="69"/>
      <c r="H82" s="268" t="s">
        <v>282</v>
      </c>
      <c r="I82" s="21" t="s">
        <v>1000</v>
      </c>
      <c r="J82" s="23" t="s">
        <v>344</v>
      </c>
      <c r="K82" s="271" t="s">
        <v>1000</v>
      </c>
      <c r="L82" s="272" t="s">
        <v>344</v>
      </c>
      <c r="M82" s="271" t="s">
        <v>1000</v>
      </c>
      <c r="N82" s="272" t="s">
        <v>344</v>
      </c>
      <c r="O82" s="271" t="s">
        <v>1000</v>
      </c>
      <c r="P82" s="282" t="s">
        <v>1011</v>
      </c>
      <c r="Q82" s="37"/>
    </row>
    <row r="83" spans="2:19">
      <c r="G83" s="51" t="s">
        <v>1001</v>
      </c>
      <c r="H83" s="269" t="s">
        <v>291</v>
      </c>
      <c r="I83" s="17" t="s">
        <v>265</v>
      </c>
      <c r="J83" s="22" t="s">
        <v>281</v>
      </c>
      <c r="K83" s="273" t="s">
        <v>265</v>
      </c>
      <c r="L83" s="274" t="s">
        <v>281</v>
      </c>
      <c r="M83" s="273" t="s">
        <v>265</v>
      </c>
      <c r="N83" s="274" t="s">
        <v>281</v>
      </c>
      <c r="O83" s="273" t="s">
        <v>265</v>
      </c>
      <c r="P83" s="270" t="s">
        <v>279</v>
      </c>
      <c r="Q83" s="267">
        <v>50</v>
      </c>
    </row>
    <row r="84" spans="2:19">
      <c r="G84" s="265">
        <v>2016</v>
      </c>
      <c r="H84" s="266" t="s">
        <v>269</v>
      </c>
      <c r="I84" s="196" t="s">
        <v>856</v>
      </c>
      <c r="J84" s="196" t="s">
        <v>646</v>
      </c>
      <c r="K84" s="196" t="s">
        <v>829</v>
      </c>
      <c r="L84" s="196" t="s">
        <v>665</v>
      </c>
      <c r="M84" s="196" t="s">
        <v>857</v>
      </c>
      <c r="N84" s="196" t="s">
        <v>200</v>
      </c>
      <c r="O84" s="196" t="s">
        <v>661</v>
      </c>
      <c r="P84" s="278" t="s">
        <v>858</v>
      </c>
      <c r="Q84" s="455" t="s">
        <v>1180</v>
      </c>
    </row>
    <row r="85" spans="2:19" ht="15.75" thickBot="1">
      <c r="G85" s="51" t="s">
        <v>446</v>
      </c>
      <c r="H85" s="269" t="s">
        <v>270</v>
      </c>
      <c r="I85" s="279" t="s">
        <v>1003</v>
      </c>
      <c r="J85" s="158" t="s">
        <v>1004</v>
      </c>
      <c r="K85" s="279" t="s">
        <v>1005</v>
      </c>
      <c r="L85" s="279" t="s">
        <v>1006</v>
      </c>
      <c r="M85" s="279" t="s">
        <v>1007</v>
      </c>
      <c r="N85" s="158" t="s">
        <v>1008</v>
      </c>
      <c r="O85" s="280" t="s">
        <v>1009</v>
      </c>
      <c r="P85" s="281" t="s">
        <v>1010</v>
      </c>
      <c r="Q85" s="72">
        <f>SUM(21.0975)/(123*60+51)*3600</f>
        <v>10.220831651190956</v>
      </c>
    </row>
    <row r="86" spans="2:19" ht="15.75" thickBot="1">
      <c r="G86" s="70">
        <v>3013.7150000000001</v>
      </c>
      <c r="H86" s="277" t="s">
        <v>311</v>
      </c>
      <c r="I86" s="275">
        <f>SUM(G86/I81)*(12*60/1000)*22.351-11.288</f>
        <v>34.682494459526055</v>
      </c>
      <c r="J86" s="275">
        <f>SUM(G86/J81)*(12*60/1000)*22.351-11.288</f>
        <v>33.043692554661789</v>
      </c>
      <c r="K86" s="275">
        <f>SUM(G86/K81)*(12*60/1000)*22.351-11.288</f>
        <v>33.124886130769227</v>
      </c>
      <c r="L86" s="275">
        <f>SUM(G86/L81)*(12*60/1000)*22.351-11.288</f>
        <v>35.570813193043477</v>
      </c>
      <c r="M86" s="275">
        <f>SUM(G86/M81)*(12*60/1000)*22.351-11.288</f>
        <v>34.901401575999998</v>
      </c>
      <c r="N86" s="275">
        <f>SUM(G86/N81)*(12*60/1000)*22.351-11.288</f>
        <v>34.038048275514015</v>
      </c>
      <c r="O86" s="275">
        <f>SUM(G86/O81)*(12*60/1000)*22.351-11.288</f>
        <v>35.43538309710982</v>
      </c>
      <c r="P86" s="18">
        <f>SUM(123*60+51)/(3014*7)*1000-300</f>
        <v>52.213479950706244</v>
      </c>
      <c r="R86" s="145"/>
      <c r="S86" s="145"/>
    </row>
    <row r="87" spans="2:19">
      <c r="B87" s="3"/>
      <c r="C87" s="4"/>
      <c r="D87" s="2"/>
      <c r="H87" s="107"/>
      <c r="I87" s="114">
        <f>SUM(I81)/G86*1000-300</f>
        <v>50.066280321795489</v>
      </c>
      <c r="J87" s="114">
        <f>SUM(J81)/G86*1000-360</f>
        <v>3.0071191204211232</v>
      </c>
      <c r="K87" s="114">
        <f>SUM(K81)/G86*1000-360</f>
        <v>2.3434863615172503</v>
      </c>
      <c r="L87" s="114">
        <f>SUM(L81)/G86*1000-300</f>
        <v>43.429952732756703</v>
      </c>
      <c r="M87" s="114">
        <f>SUM(M81)/G86*1000-300</f>
        <v>48.407198424535807</v>
      </c>
      <c r="N87" s="114">
        <f>SUM(N81)/G86*1000-300</f>
        <v>55.043526013574592</v>
      </c>
      <c r="O87" s="114">
        <f>SUM(O81)/G86*1000-300</f>
        <v>44.425401871112513</v>
      </c>
      <c r="P87" s="276"/>
      <c r="Q87" s="145"/>
      <c r="R87" s="145"/>
      <c r="S87" s="145"/>
    </row>
    <row r="88" spans="2:19" ht="15.75" thickBot="1">
      <c r="B88" s="3"/>
      <c r="C88" s="4"/>
      <c r="G88" s="145"/>
      <c r="H88" s="145"/>
      <c r="I88" s="71">
        <f>SUM(11*60+50)</f>
        <v>710</v>
      </c>
      <c r="J88" s="72">
        <f>SUM(13*60+25)</f>
        <v>805</v>
      </c>
      <c r="K88" s="72">
        <f>SUM(14*60+25)</f>
        <v>865</v>
      </c>
      <c r="L88" s="72">
        <f>SUM(14*60+1)</f>
        <v>841</v>
      </c>
      <c r="M88" s="72">
        <f>SUM(12*60+43)</f>
        <v>763</v>
      </c>
      <c r="N88" s="72">
        <f>SUM(13*60+8)</f>
        <v>788</v>
      </c>
      <c r="O88" s="72">
        <f>SUM(14*60+47)</f>
        <v>887</v>
      </c>
      <c r="P88" s="114">
        <f>SUM(I88:O88)/(21.0975)-240</f>
        <v>28.230833037089724</v>
      </c>
      <c r="Q88" s="139">
        <f>SUM(41+14+12+13+16+43+60)/7</f>
        <v>28.428571428571427</v>
      </c>
    </row>
    <row r="89" spans="2:19">
      <c r="B89" s="21" t="s">
        <v>477</v>
      </c>
      <c r="G89" s="69"/>
      <c r="H89" s="29" t="s">
        <v>282</v>
      </c>
      <c r="I89" s="21" t="s">
        <v>342</v>
      </c>
      <c r="J89" s="21" t="s">
        <v>287</v>
      </c>
      <c r="K89" s="21" t="s">
        <v>343</v>
      </c>
      <c r="L89" s="21" t="s">
        <v>283</v>
      </c>
      <c r="M89" s="23" t="s">
        <v>344</v>
      </c>
      <c r="N89" s="23" t="s">
        <v>345</v>
      </c>
      <c r="O89" s="25" t="s">
        <v>346</v>
      </c>
      <c r="P89" s="26" t="s">
        <v>447</v>
      </c>
      <c r="Q89" s="37"/>
    </row>
    <row r="90" spans="2:19">
      <c r="B90" s="194" t="s">
        <v>309</v>
      </c>
      <c r="G90" s="51" t="s">
        <v>293</v>
      </c>
      <c r="H90" s="30" t="s">
        <v>291</v>
      </c>
      <c r="I90" s="113" t="s">
        <v>309</v>
      </c>
      <c r="J90" s="22" t="s">
        <v>264</v>
      </c>
      <c r="K90" s="17" t="s">
        <v>266</v>
      </c>
      <c r="L90" s="109" t="s">
        <v>324</v>
      </c>
      <c r="M90" s="22" t="s">
        <v>341</v>
      </c>
      <c r="N90" s="22" t="s">
        <v>268</v>
      </c>
      <c r="O90" s="109" t="s">
        <v>267</v>
      </c>
      <c r="P90" s="27" t="s">
        <v>279</v>
      </c>
      <c r="Q90" s="151">
        <v>18</v>
      </c>
    </row>
    <row r="91" spans="2:19">
      <c r="B91" s="196" t="s">
        <v>448</v>
      </c>
      <c r="C91" s="71">
        <f>SUM(11*60+46)</f>
        <v>706</v>
      </c>
      <c r="G91" s="146">
        <v>2015</v>
      </c>
      <c r="H91" s="147" t="s">
        <v>269</v>
      </c>
      <c r="I91" s="148" t="s">
        <v>347</v>
      </c>
      <c r="J91" s="148" t="s">
        <v>168</v>
      </c>
      <c r="K91" s="148" t="s">
        <v>124</v>
      </c>
      <c r="L91" s="148" t="s">
        <v>226</v>
      </c>
      <c r="M91" s="182" t="s">
        <v>348</v>
      </c>
      <c r="N91" s="182" t="s">
        <v>349</v>
      </c>
      <c r="O91" s="149" t="s">
        <v>350</v>
      </c>
      <c r="P91" s="322" t="s">
        <v>340</v>
      </c>
      <c r="Q91" s="455" t="s">
        <v>1179</v>
      </c>
    </row>
    <row r="92" spans="2:19" ht="15.75" thickBot="1">
      <c r="B92" s="110" t="s">
        <v>1044</v>
      </c>
      <c r="C92" s="141" t="s">
        <v>465</v>
      </c>
      <c r="G92" s="51" t="s">
        <v>446</v>
      </c>
      <c r="H92" s="30" t="s">
        <v>270</v>
      </c>
      <c r="I92" s="341" t="s">
        <v>936</v>
      </c>
      <c r="J92" s="110" t="s">
        <v>937</v>
      </c>
      <c r="K92" s="110" t="s">
        <v>938</v>
      </c>
      <c r="L92" s="110" t="s">
        <v>939</v>
      </c>
      <c r="M92" s="342" t="s">
        <v>940</v>
      </c>
      <c r="N92" s="342" t="s">
        <v>941</v>
      </c>
      <c r="O92" s="112" t="s">
        <v>942</v>
      </c>
      <c r="P92" s="28" t="s">
        <v>943</v>
      </c>
      <c r="Q92" s="72">
        <f>SUM(21.0975)/(94*60+16)*3600</f>
        <v>13.428394625176804</v>
      </c>
    </row>
    <row r="93" spans="2:19" ht="15.75" thickBot="1">
      <c r="B93" s="140">
        <f>SUM(G93/C91)*(12*60/1000)*22.351-11.228</f>
        <v>57.467285630028321</v>
      </c>
      <c r="C93" s="195" t="s">
        <v>311</v>
      </c>
      <c r="G93" s="70">
        <v>3013.7150000000001</v>
      </c>
      <c r="H93" s="82" t="s">
        <v>311</v>
      </c>
      <c r="I93" s="74">
        <f>SUM(G93/I88)*(12*60/1000)*22.351-11.288</f>
        <v>57.020269936338025</v>
      </c>
      <c r="J93" s="74">
        <f>SUM(G93/J88)*(12*60/1000)*22.351-11.288</f>
        <v>48.959045533913041</v>
      </c>
      <c r="K93" s="74">
        <f>SUM(G93/K88)*(12*60/1000)*22.351-11.288</f>
        <v>44.780059716531795</v>
      </c>
      <c r="L93" s="74">
        <f>SUM(G93/L88)*(12*60/1000)*22.351-11.288</f>
        <v>46.380099470630199</v>
      </c>
      <c r="M93" s="74">
        <f>SUM(G93/M88)*(12*60/1000)*22.351-11.288</f>
        <v>52.275396664220182</v>
      </c>
      <c r="N93" s="74">
        <f>SUM(G93/N88)*(12*60/1000)*22.351-11.288</f>
        <v>50.258791440101518</v>
      </c>
      <c r="O93" s="74">
        <f>SUM(G93/O88)*(12*60/1000)*22.351-11.288</f>
        <v>43.389420129425034</v>
      </c>
      <c r="P93" s="18">
        <f>SUM(94*60+16)/(3014*7)*1000-240</f>
        <v>28.082282680822857</v>
      </c>
    </row>
    <row r="94" spans="2:19" ht="12" customHeight="1">
      <c r="B94" s="114">
        <f>SUM(C91)/G93*1000-180</f>
        <v>54.262363893068851</v>
      </c>
      <c r="C94" s="4"/>
      <c r="G94" s="2"/>
      <c r="H94" s="107"/>
      <c r="I94" s="114">
        <f>SUM(I88)/G93*1000-180</f>
        <v>55.589629410876597</v>
      </c>
      <c r="J94" s="114">
        <f>SUM(J88)/G93*1000-240</f>
        <v>27.112185458810757</v>
      </c>
      <c r="K94" s="114">
        <f>SUM(K88)/G93*1000-240</f>
        <v>47.021168225927113</v>
      </c>
      <c r="L94" s="114">
        <f>SUM(L88)/G93*1000-240</f>
        <v>39.057575119080582</v>
      </c>
      <c r="M94" s="114">
        <f>SUM(M88)/G93*1000-240</f>
        <v>13.175897521829341</v>
      </c>
      <c r="N94" s="114">
        <f>SUM(N88)/G93*1000-240</f>
        <v>21.471307008127837</v>
      </c>
      <c r="O94" s="114">
        <f>SUM(O88)/G93*1000-240</f>
        <v>54.321128573869771</v>
      </c>
      <c r="P94" s="264"/>
    </row>
    <row r="95" spans="2:19" ht="15.75" thickBot="1">
      <c r="H95" s="108"/>
      <c r="I95" s="71">
        <f>SUM(12*60+48)</f>
        <v>768</v>
      </c>
      <c r="J95" s="72">
        <f>SUM(15*60+29)</f>
        <v>929</v>
      </c>
      <c r="K95" s="72">
        <f>SUM(14*60+8)</f>
        <v>848</v>
      </c>
      <c r="L95" s="72">
        <f>SUM(14*60+24)</f>
        <v>864</v>
      </c>
      <c r="M95" s="72">
        <f>SUM(13*60+45)</f>
        <v>825</v>
      </c>
      <c r="N95" s="72">
        <f>SUM(13*60+43)</f>
        <v>823</v>
      </c>
      <c r="O95" s="72">
        <f>SUM(12*60+34)</f>
        <v>754</v>
      </c>
      <c r="P95" s="114">
        <f>SUM(I95:O95)/(21.0975)-240</f>
        <v>35.435478137220059</v>
      </c>
      <c r="Q95" s="139">
        <f>SUM(13+61+11+59+14+42+40)/7</f>
        <v>34.285714285714285</v>
      </c>
    </row>
    <row r="96" spans="2:19">
      <c r="G96" s="69"/>
      <c r="H96" s="29" t="s">
        <v>282</v>
      </c>
      <c r="I96" s="21" t="s">
        <v>283</v>
      </c>
      <c r="J96" s="21" t="s">
        <v>284</v>
      </c>
      <c r="K96" s="21" t="s">
        <v>285</v>
      </c>
      <c r="L96" s="21" t="s">
        <v>286</v>
      </c>
      <c r="M96" s="23" t="s">
        <v>287</v>
      </c>
      <c r="N96" s="23" t="s">
        <v>288</v>
      </c>
      <c r="O96" s="25" t="s">
        <v>289</v>
      </c>
      <c r="P96" s="26" t="s">
        <v>290</v>
      </c>
      <c r="Q96" s="37"/>
    </row>
    <row r="97" spans="4:17">
      <c r="G97" s="51" t="s">
        <v>293</v>
      </c>
      <c r="H97" s="30" t="s">
        <v>291</v>
      </c>
      <c r="I97" s="17" t="s">
        <v>264</v>
      </c>
      <c r="J97" s="17" t="s">
        <v>265</v>
      </c>
      <c r="K97" s="17" t="s">
        <v>266</v>
      </c>
      <c r="L97" s="109" t="s">
        <v>267</v>
      </c>
      <c r="M97" s="22" t="s">
        <v>281</v>
      </c>
      <c r="N97" s="22" t="s">
        <v>268</v>
      </c>
      <c r="O97" s="111" t="s">
        <v>309</v>
      </c>
      <c r="P97" s="27" t="s">
        <v>279</v>
      </c>
      <c r="Q97" s="151">
        <v>13</v>
      </c>
    </row>
    <row r="98" spans="4:17">
      <c r="G98" s="146">
        <v>2014</v>
      </c>
      <c r="H98" s="147" t="s">
        <v>269</v>
      </c>
      <c r="I98" s="148" t="s">
        <v>128</v>
      </c>
      <c r="J98" s="148" t="s">
        <v>129</v>
      </c>
      <c r="K98" s="182" t="s">
        <v>130</v>
      </c>
      <c r="L98" s="148" t="s">
        <v>131</v>
      </c>
      <c r="M98" s="182" t="s">
        <v>132</v>
      </c>
      <c r="N98" s="182" t="s">
        <v>133</v>
      </c>
      <c r="O98" s="149" t="s">
        <v>134</v>
      </c>
      <c r="P98" s="150" t="s">
        <v>135</v>
      </c>
      <c r="Q98" s="455" t="s">
        <v>1181</v>
      </c>
    </row>
    <row r="99" spans="4:17" ht="15.75" thickBot="1">
      <c r="G99" s="51" t="s">
        <v>446</v>
      </c>
      <c r="H99" s="30" t="s">
        <v>270</v>
      </c>
      <c r="I99" s="341" t="s">
        <v>928</v>
      </c>
      <c r="J99" s="341" t="s">
        <v>929</v>
      </c>
      <c r="K99" s="130" t="s">
        <v>930</v>
      </c>
      <c r="L99" s="341" t="s">
        <v>934</v>
      </c>
      <c r="M99" s="342" t="s">
        <v>931</v>
      </c>
      <c r="N99" s="130" t="s">
        <v>932</v>
      </c>
      <c r="O99" s="112" t="s">
        <v>933</v>
      </c>
      <c r="P99" s="28" t="s">
        <v>935</v>
      </c>
      <c r="Q99" s="72">
        <f>SUM(21.0975)/(96*60+49)*3600</f>
        <v>13.074711654329489</v>
      </c>
    </row>
    <row r="100" spans="4:17" ht="15.75" thickBot="1">
      <c r="D100" s="37"/>
      <c r="G100" s="70">
        <v>3013.7150000000001</v>
      </c>
      <c r="H100" s="82" t="s">
        <v>311</v>
      </c>
      <c r="I100" s="74">
        <f>SUM(G100/I95)*(12*60/1000)*22.351-11.288</f>
        <v>51.8615724671875</v>
      </c>
      <c r="J100" s="74">
        <f>SUM(G100/J95)*(12*60/1000)*22.351-11.288</f>
        <v>40.917459262432729</v>
      </c>
      <c r="K100" s="74">
        <f>SUM(G100/K95)*(12*60/1000)*22.351-11.288</f>
        <v>45.904065630660369</v>
      </c>
      <c r="L100" s="74">
        <f>SUM(G100/L95)*(12*60/1000)*22.351-11.288</f>
        <v>44.844953304166665</v>
      </c>
      <c r="M100" s="74">
        <f>SUM(G100/M95)*(12*60/1000)*22.351-11.288</f>
        <v>47.49851109672727</v>
      </c>
      <c r="N100" s="74">
        <f>SUM(G100/N95)*(12*60/1000)*22.351-11.288</f>
        <v>47.641370175941674</v>
      </c>
      <c r="O100" s="74">
        <f>SUM(G100/O95)*(12*60/1000)*22.351-11.288</f>
        <v>53.034110948010621</v>
      </c>
      <c r="P100" s="18">
        <f>SUM(96*60+49)/(3014*7)*1000-240</f>
        <v>35.33415489619864</v>
      </c>
    </row>
    <row r="101" spans="4:17">
      <c r="H101"/>
      <c r="I101" s="114">
        <f>SUM(I95)/G100*1000-240</f>
        <v>14.834979419089052</v>
      </c>
      <c r="J101" s="114">
        <f>SUM(J95)/G100*1000-300</f>
        <v>8.2574165108512148</v>
      </c>
      <c r="K101" s="114">
        <f>SUM(K95)/G100*1000-240</f>
        <v>41.380289775244137</v>
      </c>
      <c r="L101" s="114">
        <f>SUM(L95)/G100*1000-240</f>
        <v>46.689351846475176</v>
      </c>
      <c r="M101" s="114">
        <f>SUM(M95)/G100*1000-240</f>
        <v>33.748513047849599</v>
      </c>
      <c r="N101" s="114">
        <f>SUM(N95)/G100*1000-240</f>
        <v>33.084880288945669</v>
      </c>
      <c r="O101" s="114">
        <f>SUM(O95)/G100*1000-240</f>
        <v>10.189550106761914</v>
      </c>
      <c r="P101" s="250"/>
    </row>
    <row r="102" spans="4:17">
      <c r="H102" s="145"/>
      <c r="I102" s="71">
        <f>SUM(10*60+18)</f>
        <v>618</v>
      </c>
      <c r="J102" s="72">
        <f>SUM(12*60+50)</f>
        <v>770</v>
      </c>
      <c r="K102" s="72">
        <f>SUM(12*60+2)</f>
        <v>722</v>
      </c>
      <c r="L102" s="72">
        <f>SUM(10*60+31)</f>
        <v>631</v>
      </c>
      <c r="M102" s="72">
        <f>SUM(12*60+5)</f>
        <v>725</v>
      </c>
      <c r="N102" s="72">
        <f>SUM(9*60+52)</f>
        <v>592</v>
      </c>
      <c r="O102" s="72">
        <f>SUM(12*60+10)</f>
        <v>730</v>
      </c>
      <c r="P102" s="263"/>
      <c r="Q102" s="37"/>
    </row>
    <row r="103" spans="4:17">
      <c r="H103" s="44" t="s">
        <v>282</v>
      </c>
      <c r="I103" s="36"/>
      <c r="J103" s="36"/>
      <c r="K103" s="53" t="s">
        <v>300</v>
      </c>
      <c r="L103" s="54"/>
      <c r="M103" s="54"/>
      <c r="N103" s="55" t="s">
        <v>301</v>
      </c>
      <c r="P103" s="48"/>
      <c r="Q103" s="37"/>
    </row>
    <row r="104" spans="4:17">
      <c r="G104" s="52" t="s">
        <v>292</v>
      </c>
      <c r="H104" s="45" t="s">
        <v>291</v>
      </c>
      <c r="I104" s="32" t="s">
        <v>302</v>
      </c>
      <c r="J104" s="32" t="s">
        <v>308</v>
      </c>
      <c r="K104" s="127" t="s">
        <v>267</v>
      </c>
      <c r="L104" s="33" t="s">
        <v>303</v>
      </c>
      <c r="M104" s="33" t="s">
        <v>304</v>
      </c>
      <c r="N104" s="121" t="s">
        <v>309</v>
      </c>
      <c r="O104" s="33" t="s">
        <v>305</v>
      </c>
      <c r="P104" s="49"/>
      <c r="Q104" s="39">
        <v>5</v>
      </c>
    </row>
    <row r="105" spans="4:17">
      <c r="G105" s="63">
        <v>2001</v>
      </c>
      <c r="H105" s="46" t="s">
        <v>269</v>
      </c>
      <c r="I105" s="60" t="s">
        <v>306</v>
      </c>
      <c r="J105" s="60" t="s">
        <v>307</v>
      </c>
      <c r="K105" s="60" t="s">
        <v>295</v>
      </c>
      <c r="L105" s="60" t="s">
        <v>92</v>
      </c>
      <c r="M105" s="60" t="s">
        <v>49</v>
      </c>
      <c r="N105" s="61" t="s">
        <v>297</v>
      </c>
      <c r="O105" s="60" t="s">
        <v>138</v>
      </c>
      <c r="P105" s="62" t="s">
        <v>299</v>
      </c>
      <c r="Q105" s="455" t="s">
        <v>1178</v>
      </c>
    </row>
    <row r="106" spans="4:17">
      <c r="D106" s="37"/>
      <c r="G106" s="51" t="s">
        <v>294</v>
      </c>
      <c r="H106" s="47" t="s">
        <v>270</v>
      </c>
      <c r="I106" s="133"/>
      <c r="J106" s="133"/>
      <c r="K106" s="128" t="s">
        <v>296</v>
      </c>
      <c r="L106" s="134"/>
      <c r="M106" s="134"/>
      <c r="N106" s="129" t="s">
        <v>298</v>
      </c>
      <c r="O106" s="135"/>
      <c r="P106" s="50"/>
      <c r="Q106" s="72">
        <f>SUM(21.0975)/(79*60+18)*3600</f>
        <v>15.962799495586381</v>
      </c>
    </row>
    <row r="107" spans="4:17" ht="15.75" thickBot="1">
      <c r="G107" s="70">
        <v>3014</v>
      </c>
      <c r="H107" s="73" t="s">
        <v>311</v>
      </c>
      <c r="I107" s="75">
        <f>SUM(G107/I102)*(12*60/1000)*22.351-11.288</f>
        <v>67.196560000000005</v>
      </c>
      <c r="J107" s="75">
        <f>SUM(G107/J102)*(12*60/1000)*22.351-11.288</f>
        <v>51.703503999999995</v>
      </c>
      <c r="K107" s="76">
        <f>SUM(G107/K102)*(12*60/1000)*22.351-11.288</f>
        <v>55.891304819944608</v>
      </c>
      <c r="L107" s="75">
        <f>SUM(G107/L102)*(12*60/1000)*22.351-11.288</f>
        <v>65.579603930269414</v>
      </c>
      <c r="M107" s="75">
        <f>SUM(G107/M102)*(12*60/1000)*22.351-11.288</f>
        <v>55.613321489655164</v>
      </c>
      <c r="N107" s="76">
        <f>SUM(G107/N102)*(12*60/1000)*22.351-11.288</f>
        <v>70.643517027027016</v>
      </c>
      <c r="O107" s="75">
        <f>SUM(G107/O102)*(12*60/1000)*22.351-11.288</f>
        <v>55.155093260273972</v>
      </c>
      <c r="P107" s="16"/>
    </row>
    <row r="108" spans="4:17" ht="15.75" thickTop="1">
      <c r="H108"/>
      <c r="K108"/>
      <c r="L108"/>
      <c r="M108"/>
      <c r="N108"/>
      <c r="O108"/>
    </row>
    <row r="109" spans="4:17">
      <c r="E109" s="144"/>
      <c r="G109" s="144"/>
    </row>
    <row r="110" spans="4:17" ht="15.75" thickBot="1">
      <c r="E110" s="389" t="s">
        <v>1016</v>
      </c>
      <c r="G110" s="388" t="s">
        <v>1032</v>
      </c>
      <c r="O110"/>
    </row>
    <row r="111" spans="4:17">
      <c r="D111" s="161"/>
      <c r="E111" s="304"/>
      <c r="F111" s="162"/>
      <c r="G111" s="347" t="s">
        <v>1121</v>
      </c>
      <c r="H111" s="163"/>
      <c r="I111" s="163"/>
      <c r="J111" s="163"/>
      <c r="K111" s="163"/>
      <c r="L111" s="164"/>
      <c r="M111" s="183"/>
      <c r="O111"/>
    </row>
    <row r="112" spans="4:17">
      <c r="D112" s="165"/>
      <c r="E112" s="303" t="s">
        <v>293</v>
      </c>
      <c r="F112" s="303"/>
      <c r="G112" s="303" t="s">
        <v>470</v>
      </c>
      <c r="H112" s="303" t="s">
        <v>471</v>
      </c>
      <c r="I112" s="303" t="s">
        <v>270</v>
      </c>
      <c r="J112" s="303" t="s">
        <v>472</v>
      </c>
      <c r="K112" s="303" t="s">
        <v>282</v>
      </c>
      <c r="L112" s="166"/>
      <c r="M112" s="183"/>
    </row>
    <row r="113" spans="4:15" ht="15" customHeight="1">
      <c r="D113" s="175"/>
      <c r="E113" s="301" t="s">
        <v>309</v>
      </c>
      <c r="F113" s="301"/>
      <c r="G113" s="343">
        <v>2015</v>
      </c>
      <c r="H113" s="338" t="s">
        <v>347</v>
      </c>
      <c r="I113" s="337" t="s">
        <v>936</v>
      </c>
      <c r="J113" s="313">
        <f>SUM(I93)</f>
        <v>57.020269936338025</v>
      </c>
      <c r="K113" s="343" t="s">
        <v>342</v>
      </c>
      <c r="L113" s="199"/>
      <c r="M113" s="344">
        <v>2015</v>
      </c>
      <c r="N113" s="345" t="s">
        <v>340</v>
      </c>
      <c r="O113" s="346">
        <v>18</v>
      </c>
    </row>
    <row r="114" spans="4:15" ht="18" customHeight="1">
      <c r="D114" s="175"/>
      <c r="E114" s="113"/>
      <c r="F114" s="113"/>
      <c r="G114" s="156">
        <v>2014</v>
      </c>
      <c r="H114" s="198" t="s">
        <v>134</v>
      </c>
      <c r="I114" s="158" t="s">
        <v>933</v>
      </c>
      <c r="J114" s="159">
        <f>SUM(O100)</f>
        <v>53.034110948010621</v>
      </c>
      <c r="K114" s="156" t="s">
        <v>289</v>
      </c>
      <c r="L114" s="197"/>
      <c r="M114" s="201">
        <v>2014</v>
      </c>
      <c r="N114" s="155" t="s">
        <v>135</v>
      </c>
      <c r="O114" s="202">
        <v>13</v>
      </c>
    </row>
    <row r="115" spans="4:15">
      <c r="D115" s="175"/>
      <c r="E115" s="113"/>
      <c r="F115" s="113"/>
      <c r="G115" s="405">
        <v>2016</v>
      </c>
      <c r="H115" s="406" t="s">
        <v>560</v>
      </c>
      <c r="I115" s="407" t="s">
        <v>944</v>
      </c>
      <c r="J115" s="75">
        <f>SUM(I79)</f>
        <v>52.44244895505912</v>
      </c>
      <c r="K115" s="405" t="s">
        <v>288</v>
      </c>
      <c r="L115" s="197"/>
      <c r="M115" s="296">
        <v>2016</v>
      </c>
      <c r="N115" s="155" t="s">
        <v>576</v>
      </c>
      <c r="O115" s="295">
        <v>10</v>
      </c>
    </row>
    <row r="116" spans="4:15">
      <c r="D116" s="165"/>
      <c r="E116" s="168"/>
      <c r="F116" s="168"/>
      <c r="G116" s="357">
        <v>2015</v>
      </c>
      <c r="H116" s="358" t="s">
        <v>448</v>
      </c>
      <c r="I116" s="408" t="s">
        <v>1044</v>
      </c>
      <c r="J116" s="360">
        <f>SUM(B93)</f>
        <v>57.467285630028321</v>
      </c>
      <c r="K116" s="357" t="s">
        <v>342</v>
      </c>
      <c r="L116" s="167"/>
      <c r="M116" s="385">
        <v>2018</v>
      </c>
      <c r="N116" s="386" t="s">
        <v>597</v>
      </c>
      <c r="O116" s="385">
        <v>14</v>
      </c>
    </row>
    <row r="117" spans="4:15">
      <c r="D117" s="165"/>
      <c r="E117" s="168"/>
      <c r="F117" s="168"/>
      <c r="G117" s="357">
        <v>2016</v>
      </c>
      <c r="H117" s="358" t="s">
        <v>476</v>
      </c>
      <c r="I117" s="359" t="s">
        <v>475</v>
      </c>
      <c r="J117" s="361">
        <v>0</v>
      </c>
      <c r="K117" s="357" t="s">
        <v>288</v>
      </c>
      <c r="L117" s="167"/>
      <c r="M117" s="362">
        <v>2017</v>
      </c>
      <c r="N117" s="155" t="s">
        <v>1035</v>
      </c>
      <c r="O117" s="362">
        <v>19</v>
      </c>
    </row>
    <row r="118" spans="4:15">
      <c r="D118" s="165"/>
      <c r="E118" s="168"/>
      <c r="F118" s="168"/>
      <c r="G118" s="357">
        <v>2017</v>
      </c>
      <c r="H118" s="358" t="s">
        <v>1042</v>
      </c>
      <c r="I118" s="359" t="s">
        <v>1043</v>
      </c>
      <c r="J118" s="360">
        <f>SUM(B72)</f>
        <v>51.515433470225872</v>
      </c>
      <c r="K118" s="357" t="s">
        <v>345</v>
      </c>
      <c r="L118" s="167"/>
    </row>
    <row r="119" spans="4:15">
      <c r="D119" s="165"/>
      <c r="E119" s="301" t="s">
        <v>341</v>
      </c>
      <c r="F119" s="301"/>
      <c r="G119" s="343">
        <v>2015</v>
      </c>
      <c r="H119" s="338" t="s">
        <v>348</v>
      </c>
      <c r="I119" s="337" t="s">
        <v>940</v>
      </c>
      <c r="J119" s="313">
        <f>SUM(M93)</f>
        <v>52.275396664220182</v>
      </c>
      <c r="K119" s="343" t="s">
        <v>344</v>
      </c>
      <c r="L119" s="199"/>
      <c r="M119" s="144"/>
    </row>
    <row r="120" spans="4:15">
      <c r="D120" s="165"/>
      <c r="E120" s="336"/>
      <c r="F120" s="336"/>
      <c r="G120" s="169">
        <v>2016</v>
      </c>
      <c r="H120" s="198" t="s">
        <v>307</v>
      </c>
      <c r="I120" s="160" t="s">
        <v>945</v>
      </c>
      <c r="J120" s="159">
        <f>SUM(J79)</f>
        <v>51.697547603636366</v>
      </c>
      <c r="K120" s="169" t="s">
        <v>467</v>
      </c>
      <c r="L120" s="197"/>
      <c r="M120" s="144"/>
    </row>
    <row r="121" spans="4:15">
      <c r="D121" s="165"/>
      <c r="E121" s="113"/>
      <c r="F121" s="113"/>
      <c r="G121" s="169">
        <v>2018</v>
      </c>
      <c r="H121" s="198" t="s">
        <v>660</v>
      </c>
      <c r="I121" s="160" t="s">
        <v>1130</v>
      </c>
      <c r="J121" s="159">
        <f>SUM(M64)</f>
        <v>48.588427373612816</v>
      </c>
      <c r="K121" s="169" t="s">
        <v>1120</v>
      </c>
      <c r="L121" s="197"/>
      <c r="M121" s="144"/>
    </row>
    <row r="122" spans="4:15">
      <c r="D122" s="165"/>
      <c r="E122" s="113"/>
      <c r="F122" s="113"/>
      <c r="G122" s="169">
        <v>2017</v>
      </c>
      <c r="H122" s="198" t="s">
        <v>691</v>
      </c>
      <c r="I122" s="160" t="s">
        <v>1040</v>
      </c>
      <c r="J122" s="159">
        <f>SUM(N72)</f>
        <v>45.240742335025374</v>
      </c>
      <c r="K122" s="169" t="s">
        <v>467</v>
      </c>
      <c r="L122" s="197"/>
      <c r="M122" s="144"/>
    </row>
    <row r="123" spans="4:15">
      <c r="D123" s="165"/>
      <c r="E123" s="113"/>
      <c r="F123" s="113"/>
      <c r="G123" s="169">
        <v>2018</v>
      </c>
      <c r="H123" s="198" t="s">
        <v>1124</v>
      </c>
      <c r="I123" s="160" t="s">
        <v>1132</v>
      </c>
      <c r="J123" s="159">
        <f>SUM(N64)</f>
        <v>38.619279136690636</v>
      </c>
      <c r="K123" s="169" t="s">
        <v>1120</v>
      </c>
      <c r="L123" s="197"/>
      <c r="M123" s="144"/>
    </row>
    <row r="124" spans="4:15">
      <c r="D124" s="165"/>
      <c r="E124" s="301" t="s">
        <v>324</v>
      </c>
      <c r="F124" s="301"/>
      <c r="G124" s="343">
        <v>2017</v>
      </c>
      <c r="H124" s="338" t="s">
        <v>167</v>
      </c>
      <c r="I124" s="337" t="s">
        <v>1039</v>
      </c>
      <c r="J124" s="313">
        <f>SUM(M72)</f>
        <v>51.985649090909078</v>
      </c>
      <c r="K124" s="343" t="s">
        <v>466</v>
      </c>
      <c r="L124" s="199"/>
      <c r="M124" s="144"/>
    </row>
    <row r="125" spans="4:15">
      <c r="D125" s="165"/>
      <c r="E125" s="336"/>
      <c r="F125" s="336"/>
      <c r="G125" s="169">
        <v>2018</v>
      </c>
      <c r="H125" s="198" t="s">
        <v>120</v>
      </c>
      <c r="I125" s="160" t="s">
        <v>1129</v>
      </c>
      <c r="J125" s="159">
        <f>SUM(L64)</f>
        <v>51.694856809338518</v>
      </c>
      <c r="K125" s="169" t="s">
        <v>344</v>
      </c>
      <c r="L125" s="197"/>
      <c r="M125" s="144"/>
    </row>
    <row r="126" spans="4:15">
      <c r="D126" s="165"/>
      <c r="E126" s="336"/>
      <c r="F126" s="336"/>
      <c r="G126" s="169">
        <v>2018</v>
      </c>
      <c r="H126" s="198" t="s">
        <v>491</v>
      </c>
      <c r="I126" s="160" t="s">
        <v>1128</v>
      </c>
      <c r="J126" s="159">
        <f>SUM(O64)</f>
        <v>50.571595668789797</v>
      </c>
      <c r="K126" s="169" t="s">
        <v>344</v>
      </c>
      <c r="L126" s="197"/>
      <c r="M126" s="144"/>
    </row>
    <row r="127" spans="4:15">
      <c r="D127" s="165"/>
      <c r="E127" s="336"/>
      <c r="F127" s="336"/>
      <c r="G127" s="169">
        <v>2016</v>
      </c>
      <c r="H127" s="198" t="s">
        <v>574</v>
      </c>
      <c r="I127" s="160" t="s">
        <v>948</v>
      </c>
      <c r="J127" s="159">
        <f>SUM(M80)</f>
        <v>20.807674249223965</v>
      </c>
      <c r="K127" s="169" t="s">
        <v>287</v>
      </c>
      <c r="L127" s="197"/>
      <c r="M127" s="144"/>
    </row>
    <row r="128" spans="4:15">
      <c r="D128" s="165"/>
      <c r="E128" s="113"/>
      <c r="F128" s="113"/>
      <c r="G128" s="169">
        <v>2015</v>
      </c>
      <c r="H128" s="198" t="s">
        <v>226</v>
      </c>
      <c r="I128" s="160" t="s">
        <v>939</v>
      </c>
      <c r="J128" s="159">
        <f>SUM(L93)</f>
        <v>46.380099470630199</v>
      </c>
      <c r="K128" s="169" t="s">
        <v>283</v>
      </c>
      <c r="L128" s="197"/>
      <c r="M128" s="144"/>
    </row>
    <row r="129" spans="4:13">
      <c r="D129" s="165"/>
      <c r="E129" s="301" t="s">
        <v>264</v>
      </c>
      <c r="F129" s="301"/>
      <c r="G129" s="343">
        <v>2014</v>
      </c>
      <c r="H129" s="338" t="s">
        <v>128</v>
      </c>
      <c r="I129" s="337" t="s">
        <v>928</v>
      </c>
      <c r="J129" s="313">
        <f>SUM(I100)</f>
        <v>51.8615724671875</v>
      </c>
      <c r="K129" s="343" t="s">
        <v>283</v>
      </c>
      <c r="L129" s="199"/>
      <c r="M129" s="144"/>
    </row>
    <row r="130" spans="4:13">
      <c r="D130" s="165"/>
      <c r="E130" s="113"/>
      <c r="F130" s="113"/>
      <c r="G130" s="169">
        <v>2015</v>
      </c>
      <c r="H130" s="198" t="s">
        <v>168</v>
      </c>
      <c r="I130" s="158" t="s">
        <v>937</v>
      </c>
      <c r="J130" s="159">
        <f>SUM(J93)</f>
        <v>48.959045533913041</v>
      </c>
      <c r="K130" s="302" t="s">
        <v>287</v>
      </c>
      <c r="L130" s="197"/>
      <c r="M130" s="144"/>
    </row>
    <row r="131" spans="4:13">
      <c r="D131" s="165"/>
      <c r="E131" s="168"/>
      <c r="F131" s="168"/>
      <c r="G131" s="169">
        <v>2016</v>
      </c>
      <c r="H131" s="198" t="s">
        <v>553</v>
      </c>
      <c r="I131" s="160" t="s">
        <v>946</v>
      </c>
      <c r="J131" s="159">
        <f>SUM(K79)</f>
        <v>46.794481023712578</v>
      </c>
      <c r="K131" s="302" t="s">
        <v>466</v>
      </c>
      <c r="L131" s="167"/>
      <c r="M131" s="144"/>
    </row>
    <row r="132" spans="4:13">
      <c r="D132" s="165"/>
      <c r="E132" s="301" t="s">
        <v>268</v>
      </c>
      <c r="F132" s="301"/>
      <c r="G132" s="343">
        <v>2015</v>
      </c>
      <c r="H132" s="338" t="s">
        <v>349</v>
      </c>
      <c r="I132" s="337" t="s">
        <v>941</v>
      </c>
      <c r="J132" s="313">
        <f>SUM(N93)</f>
        <v>50.258791440101518</v>
      </c>
      <c r="K132" s="343" t="s">
        <v>345</v>
      </c>
      <c r="L132" s="199"/>
      <c r="M132" s="144"/>
    </row>
    <row r="133" spans="4:13">
      <c r="D133" s="165"/>
      <c r="E133" s="113"/>
      <c r="F133" s="113"/>
      <c r="G133" s="169">
        <v>2016</v>
      </c>
      <c r="H133" s="198" t="s">
        <v>575</v>
      </c>
      <c r="I133" s="160" t="s">
        <v>949</v>
      </c>
      <c r="J133" s="159">
        <f>SUM(N79)</f>
        <v>48.074144008323131</v>
      </c>
      <c r="K133" s="169" t="s">
        <v>468</v>
      </c>
      <c r="L133" s="197"/>
      <c r="M133" s="144"/>
    </row>
    <row r="134" spans="4:13">
      <c r="D134" s="165"/>
      <c r="E134" s="113"/>
      <c r="F134" s="113"/>
      <c r="G134" s="169">
        <v>2014</v>
      </c>
      <c r="H134" s="198" t="s">
        <v>133</v>
      </c>
      <c r="I134" s="160" t="s">
        <v>932</v>
      </c>
      <c r="J134" s="159">
        <f>SUM(N100)</f>
        <v>47.641370175941674</v>
      </c>
      <c r="K134" s="169" t="s">
        <v>288</v>
      </c>
      <c r="L134" s="197"/>
      <c r="M134" s="144"/>
    </row>
    <row r="135" spans="4:13">
      <c r="D135" s="165"/>
      <c r="E135" s="113"/>
      <c r="F135" s="113"/>
      <c r="G135" s="169">
        <v>2018</v>
      </c>
      <c r="H135" s="198" t="s">
        <v>569</v>
      </c>
      <c r="I135" s="160" t="s">
        <v>1131</v>
      </c>
      <c r="J135" s="159">
        <f>SUM(K64)</f>
        <v>47.077123317307695</v>
      </c>
      <c r="K135" s="169" t="s">
        <v>300</v>
      </c>
      <c r="L135" s="197"/>
      <c r="M135" s="144"/>
    </row>
    <row r="136" spans="4:13">
      <c r="D136" s="165"/>
      <c r="E136" s="113"/>
      <c r="F136" s="113"/>
      <c r="G136" s="169">
        <v>2017</v>
      </c>
      <c r="H136" s="198" t="s">
        <v>1029</v>
      </c>
      <c r="I136" s="160" t="s">
        <v>1038</v>
      </c>
      <c r="J136" s="159">
        <f>SUM(K72)</f>
        <v>42.148479078694805</v>
      </c>
      <c r="K136" s="169" t="s">
        <v>1023</v>
      </c>
      <c r="L136" s="197"/>
      <c r="M136" s="144"/>
    </row>
    <row r="137" spans="4:13">
      <c r="D137" s="165"/>
      <c r="E137" s="113"/>
      <c r="F137" s="113"/>
      <c r="G137" s="169">
        <v>2017</v>
      </c>
      <c r="H137" s="198" t="s">
        <v>1029</v>
      </c>
      <c r="I137" s="160" t="s">
        <v>1038</v>
      </c>
      <c r="J137" s="159">
        <f>SUM(L72)</f>
        <v>42.148479078694805</v>
      </c>
      <c r="K137" s="169" t="s">
        <v>1023</v>
      </c>
      <c r="L137" s="197"/>
      <c r="M137" s="144"/>
    </row>
    <row r="138" spans="4:13">
      <c r="D138" s="165"/>
      <c r="E138" s="301" t="s">
        <v>266</v>
      </c>
      <c r="F138" s="301"/>
      <c r="G138" s="343">
        <v>2018</v>
      </c>
      <c r="H138" s="338" t="s">
        <v>27</v>
      </c>
      <c r="I138" s="337" t="s">
        <v>1126</v>
      </c>
      <c r="J138" s="313">
        <f>SUM(I64)</f>
        <v>48.65387486924034</v>
      </c>
      <c r="K138" s="343" t="s">
        <v>466</v>
      </c>
      <c r="L138" s="403"/>
      <c r="M138" s="144"/>
    </row>
    <row r="139" spans="4:13">
      <c r="D139" s="165"/>
      <c r="E139" s="336"/>
      <c r="F139" s="336"/>
      <c r="G139" s="169">
        <v>2014</v>
      </c>
      <c r="H139" s="198" t="s">
        <v>130</v>
      </c>
      <c r="I139" s="160" t="s">
        <v>930</v>
      </c>
      <c r="J139" s="159">
        <f>SUM(K100)</f>
        <v>45.904065630660369</v>
      </c>
      <c r="K139" s="169" t="s">
        <v>285</v>
      </c>
      <c r="L139" s="387"/>
      <c r="M139" s="144"/>
    </row>
    <row r="140" spans="4:13">
      <c r="D140" s="165"/>
      <c r="E140" s="113"/>
      <c r="F140" s="113"/>
      <c r="G140" s="169">
        <v>2015</v>
      </c>
      <c r="H140" s="198" t="s">
        <v>124</v>
      </c>
      <c r="I140" s="160" t="s">
        <v>938</v>
      </c>
      <c r="J140" s="159">
        <f>SUM(K93)</f>
        <v>44.780059716531795</v>
      </c>
      <c r="K140" s="169" t="s">
        <v>343</v>
      </c>
      <c r="L140" s="197"/>
      <c r="M140" s="144"/>
    </row>
    <row r="141" spans="4:13">
      <c r="D141" s="165"/>
      <c r="E141" s="168"/>
      <c r="F141" s="168"/>
      <c r="G141" s="169">
        <v>2016</v>
      </c>
      <c r="H141" s="198" t="s">
        <v>215</v>
      </c>
      <c r="I141" s="160" t="s">
        <v>947</v>
      </c>
      <c r="J141" s="159">
        <f>SUM(L79)</f>
        <v>40.471734957097112</v>
      </c>
      <c r="K141" s="169" t="s">
        <v>283</v>
      </c>
      <c r="L141" s="167"/>
      <c r="M141" s="144"/>
    </row>
    <row r="142" spans="4:13">
      <c r="D142" s="165"/>
      <c r="E142" s="301" t="s">
        <v>1031</v>
      </c>
      <c r="F142" s="301"/>
      <c r="G142" s="343">
        <v>2014</v>
      </c>
      <c r="H142" s="338" t="s">
        <v>132</v>
      </c>
      <c r="I142" s="337" t="s">
        <v>276</v>
      </c>
      <c r="J142" s="313">
        <f>SUM(M101)</f>
        <v>33.748513047849599</v>
      </c>
      <c r="K142" s="343" t="s">
        <v>287</v>
      </c>
      <c r="L142" s="199"/>
      <c r="M142" s="144"/>
    </row>
    <row r="143" spans="4:13">
      <c r="D143" s="165"/>
      <c r="E143" s="168"/>
      <c r="F143" s="168"/>
      <c r="G143" s="298">
        <v>2016</v>
      </c>
      <c r="H143" s="198" t="s">
        <v>476</v>
      </c>
      <c r="I143" s="300" t="s">
        <v>475</v>
      </c>
      <c r="J143" s="404">
        <v>0</v>
      </c>
      <c r="K143" s="298" t="s">
        <v>344</v>
      </c>
      <c r="L143" s="197"/>
      <c r="M143" s="144"/>
    </row>
    <row r="144" spans="4:13">
      <c r="D144" s="165"/>
      <c r="E144" s="301" t="s">
        <v>267</v>
      </c>
      <c r="F144" s="301"/>
      <c r="G144" s="343">
        <v>2014</v>
      </c>
      <c r="H144" s="338" t="s">
        <v>131</v>
      </c>
      <c r="I144" s="337" t="s">
        <v>934</v>
      </c>
      <c r="J144" s="313">
        <f>SUM(L100)</f>
        <v>44.844953304166665</v>
      </c>
      <c r="K144" s="343" t="s">
        <v>286</v>
      </c>
      <c r="L144" s="199"/>
      <c r="M144" s="144"/>
    </row>
    <row r="145" spans="2:15">
      <c r="D145" s="165"/>
      <c r="E145" s="113"/>
      <c r="F145" s="113"/>
      <c r="G145" s="169">
        <v>2015</v>
      </c>
      <c r="H145" s="198" t="s">
        <v>350</v>
      </c>
      <c r="I145" s="160" t="s">
        <v>942</v>
      </c>
      <c r="J145" s="159">
        <f>SUM(O93)</f>
        <v>43.389420129425034</v>
      </c>
      <c r="K145" s="169" t="s">
        <v>346</v>
      </c>
      <c r="L145" s="197"/>
      <c r="M145" s="183"/>
    </row>
    <row r="146" spans="2:15">
      <c r="D146" s="165"/>
      <c r="E146" s="113"/>
      <c r="F146" s="113"/>
      <c r="G146" s="169">
        <v>2018</v>
      </c>
      <c r="H146" s="198" t="s">
        <v>239</v>
      </c>
      <c r="I146" s="160" t="s">
        <v>1127</v>
      </c>
      <c r="J146" s="159">
        <f>SUM(J64)</f>
        <v>42.074398461538465</v>
      </c>
      <c r="K146" s="169" t="s">
        <v>1000</v>
      </c>
      <c r="L146" s="197"/>
      <c r="M146" s="183"/>
    </row>
    <row r="147" spans="2:15">
      <c r="D147" s="165"/>
      <c r="E147" s="168"/>
      <c r="F147" s="168"/>
      <c r="G147" s="169">
        <v>2016</v>
      </c>
      <c r="H147" s="198" t="s">
        <v>185</v>
      </c>
      <c r="I147" s="160" t="s">
        <v>950</v>
      </c>
      <c r="J147" s="159">
        <f>SUM(O79)</f>
        <v>41.256823027952322</v>
      </c>
      <c r="K147" s="169" t="s">
        <v>284</v>
      </c>
      <c r="L147" s="166"/>
      <c r="M147" s="183"/>
    </row>
    <row r="148" spans="2:15">
      <c r="D148" s="165"/>
      <c r="E148" s="168"/>
      <c r="F148" s="168"/>
      <c r="G148" s="169">
        <v>2017</v>
      </c>
      <c r="H148" s="198" t="s">
        <v>1036</v>
      </c>
      <c r="I148" s="160" t="s">
        <v>1037</v>
      </c>
      <c r="J148" s="159">
        <f>SUM(J72)</f>
        <v>39.842221487603297</v>
      </c>
      <c r="K148" s="169" t="s">
        <v>1024</v>
      </c>
      <c r="L148" s="166"/>
      <c r="M148" s="183"/>
    </row>
    <row r="149" spans="2:15">
      <c r="D149" s="165"/>
      <c r="E149" s="301" t="s">
        <v>1030</v>
      </c>
      <c r="F149" s="301"/>
      <c r="G149" s="343">
        <v>2017</v>
      </c>
      <c r="H149" s="338" t="s">
        <v>798</v>
      </c>
      <c r="I149" s="337" t="s">
        <v>1041</v>
      </c>
      <c r="J149" s="313">
        <f>SUM(I72)</f>
        <v>42.085016768558944</v>
      </c>
      <c r="K149" s="343" t="s">
        <v>1000</v>
      </c>
      <c r="L149" s="200"/>
      <c r="M149" s="183"/>
    </row>
    <row r="150" spans="2:15">
      <c r="D150" s="165"/>
      <c r="E150" s="301" t="s">
        <v>265</v>
      </c>
      <c r="F150" s="301"/>
      <c r="G150" s="343">
        <v>2014</v>
      </c>
      <c r="H150" s="338" t="s">
        <v>129</v>
      </c>
      <c r="I150" s="337" t="s">
        <v>929</v>
      </c>
      <c r="J150" s="313">
        <f>SUM(J100)</f>
        <v>40.917459262432729</v>
      </c>
      <c r="K150" s="343" t="s">
        <v>284</v>
      </c>
      <c r="L150" s="200"/>
      <c r="M150" s="183"/>
    </row>
    <row r="151" spans="2:15">
      <c r="D151" s="165"/>
      <c r="E151" s="168"/>
      <c r="F151" s="168"/>
      <c r="G151" s="298">
        <v>2016</v>
      </c>
      <c r="H151" s="299" t="s">
        <v>476</v>
      </c>
      <c r="I151" s="300" t="s">
        <v>475</v>
      </c>
      <c r="J151" s="159"/>
      <c r="K151" s="298" t="s">
        <v>1000</v>
      </c>
      <c r="L151" s="297"/>
      <c r="M151" s="183"/>
    </row>
    <row r="152" spans="2:15" ht="15.75" thickBot="1">
      <c r="D152" s="170"/>
      <c r="E152" s="171"/>
      <c r="F152" s="171"/>
      <c r="G152" s="172"/>
      <c r="H152" s="173"/>
      <c r="I152" s="173"/>
      <c r="J152" s="173"/>
      <c r="K152" s="173"/>
      <c r="L152" s="174"/>
    </row>
    <row r="155" spans="2:15">
      <c r="C155" s="289"/>
      <c r="D155" s="285"/>
      <c r="H155"/>
      <c r="I155"/>
      <c r="J155"/>
      <c r="K155"/>
      <c r="L155"/>
      <c r="M155"/>
      <c r="N155"/>
      <c r="O155"/>
    </row>
    <row r="156" spans="2:15">
      <c r="C156" s="290"/>
      <c r="D156" s="294" t="s">
        <v>464</v>
      </c>
      <c r="E156" s="240" t="s">
        <v>1167</v>
      </c>
      <c r="F156" s="240"/>
      <c r="G156" s="452" t="s">
        <v>1177</v>
      </c>
      <c r="H156" s="453" t="s">
        <v>1176</v>
      </c>
      <c r="I156" s="115"/>
      <c r="J156" s="449"/>
      <c r="K156" s="115"/>
      <c r="L156" s="115"/>
      <c r="M156" s="452" t="s">
        <v>1174</v>
      </c>
      <c r="N156" s="193" t="s">
        <v>1175</v>
      </c>
    </row>
    <row r="157" spans="2:15" ht="15.75" thickBot="1">
      <c r="B157" s="226"/>
      <c r="C157" s="287"/>
      <c r="D157" s="288" t="s">
        <v>462</v>
      </c>
      <c r="E157" s="283" t="s">
        <v>1014</v>
      </c>
      <c r="F157" s="227"/>
      <c r="G157" s="447" t="s">
        <v>1012</v>
      </c>
      <c r="H157" s="227" t="s">
        <v>454</v>
      </c>
      <c r="I157" s="227" t="s">
        <v>455</v>
      </c>
      <c r="J157" s="450" t="s">
        <v>456</v>
      </c>
      <c r="K157" s="228" t="s">
        <v>457</v>
      </c>
      <c r="L157" s="227" t="s">
        <v>458</v>
      </c>
      <c r="M157" s="447" t="s">
        <v>459</v>
      </c>
      <c r="N157" s="229" t="s">
        <v>460</v>
      </c>
      <c r="O157" s="230"/>
    </row>
    <row r="158" spans="2:15">
      <c r="C158" s="290"/>
      <c r="D158" s="286" t="s">
        <v>461</v>
      </c>
      <c r="E158" s="284" t="s">
        <v>1015</v>
      </c>
      <c r="F158" s="224"/>
      <c r="G158" s="448" t="s">
        <v>1013</v>
      </c>
      <c r="H158" s="225">
        <v>17.55</v>
      </c>
      <c r="I158" s="224" t="s">
        <v>449</v>
      </c>
      <c r="J158" s="451" t="s">
        <v>450</v>
      </c>
      <c r="K158" s="225">
        <v>37.25</v>
      </c>
      <c r="L158" s="224" t="s">
        <v>451</v>
      </c>
      <c r="M158" s="451" t="s">
        <v>452</v>
      </c>
      <c r="N158" s="224" t="s">
        <v>453</v>
      </c>
    </row>
    <row r="159" spans="2:15">
      <c r="C159" s="291"/>
      <c r="D159" s="315" t="s">
        <v>1018</v>
      </c>
    </row>
    <row r="161" spans="2:15">
      <c r="C161" s="289"/>
      <c r="D161" s="285"/>
      <c r="H161"/>
      <c r="I161"/>
      <c r="J161"/>
      <c r="K161"/>
      <c r="L161"/>
      <c r="M161"/>
      <c r="N161"/>
      <c r="O161"/>
    </row>
    <row r="162" spans="2:15">
      <c r="C162" s="290"/>
      <c r="D162" s="294" t="s">
        <v>1153</v>
      </c>
      <c r="E162" s="240" t="s">
        <v>1168</v>
      </c>
      <c r="F162" s="240"/>
      <c r="G162" s="144"/>
      <c r="H162" s="115"/>
      <c r="I162" s="115"/>
      <c r="J162" s="115"/>
      <c r="K162" s="115"/>
      <c r="L162" s="115"/>
    </row>
    <row r="163" spans="2:15" ht="15.75" thickBot="1">
      <c r="B163" s="226"/>
      <c r="C163" s="287"/>
      <c r="D163" s="288" t="s">
        <v>1154</v>
      </c>
      <c r="E163" s="283" t="s">
        <v>1164</v>
      </c>
      <c r="F163" s="227"/>
      <c r="G163" s="228" t="s">
        <v>1165</v>
      </c>
      <c r="H163" s="227" t="s">
        <v>1156</v>
      </c>
      <c r="I163" s="227" t="s">
        <v>1157</v>
      </c>
      <c r="J163" s="227" t="s">
        <v>1158</v>
      </c>
      <c r="K163" s="228" t="s">
        <v>1159</v>
      </c>
      <c r="L163" s="227"/>
      <c r="M163" s="228" t="s">
        <v>1163</v>
      </c>
      <c r="N163" s="229"/>
      <c r="O163" s="230"/>
    </row>
    <row r="164" spans="2:15">
      <c r="C164" s="290"/>
      <c r="D164" s="286" t="s">
        <v>1155</v>
      </c>
      <c r="E164" s="284" t="s">
        <v>152</v>
      </c>
      <c r="F164" s="224"/>
      <c r="G164" s="225" t="s">
        <v>1160</v>
      </c>
      <c r="H164" s="224" t="s">
        <v>1161</v>
      </c>
      <c r="I164" s="224" t="s">
        <v>644</v>
      </c>
      <c r="J164" s="224" t="s">
        <v>160</v>
      </c>
      <c r="K164" s="224" t="s">
        <v>221</v>
      </c>
      <c r="L164" s="224"/>
      <c r="M164" s="224" t="s">
        <v>1162</v>
      </c>
      <c r="N164" s="224"/>
    </row>
    <row r="165" spans="2:15">
      <c r="C165" s="291"/>
      <c r="D165" s="315" t="s">
        <v>1166</v>
      </c>
    </row>
    <row r="166" spans="2:15">
      <c r="C166" s="168"/>
      <c r="D166" s="412"/>
    </row>
    <row r="167" spans="2:15">
      <c r="D167" s="142" t="s">
        <v>463</v>
      </c>
      <c r="E167" s="143"/>
      <c r="F167" s="143"/>
      <c r="N167"/>
    </row>
    <row r="168" spans="2:15" ht="15.75" thickBot="1">
      <c r="M168"/>
      <c r="N168"/>
    </row>
    <row r="169" spans="2:15">
      <c r="D169" s="132">
        <v>2015</v>
      </c>
      <c r="E169" s="220" t="s">
        <v>335</v>
      </c>
      <c r="F169" s="316"/>
      <c r="G169" s="203"/>
      <c r="H169" s="203"/>
      <c r="I169" s="203"/>
      <c r="J169" s="203"/>
      <c r="K169" s="203"/>
      <c r="L169" s="217"/>
      <c r="M169" s="203"/>
      <c r="N169"/>
    </row>
    <row r="170" spans="2:15">
      <c r="D170" s="204" t="s">
        <v>314</v>
      </c>
      <c r="E170" s="215" t="s">
        <v>315</v>
      </c>
      <c r="F170" s="317"/>
      <c r="G170" s="205" t="s">
        <v>336</v>
      </c>
      <c r="H170" s="205" t="s">
        <v>316</v>
      </c>
      <c r="I170" s="205" t="s">
        <v>317</v>
      </c>
      <c r="J170" s="205" t="s">
        <v>270</v>
      </c>
      <c r="K170" s="205" t="s">
        <v>318</v>
      </c>
      <c r="L170" s="219" t="s">
        <v>311</v>
      </c>
      <c r="M170" s="206" t="s">
        <v>337</v>
      </c>
      <c r="N170" s="131"/>
    </row>
    <row r="171" spans="2:15">
      <c r="D171" s="292" t="s">
        <v>1019</v>
      </c>
      <c r="E171" s="212" t="s">
        <v>319</v>
      </c>
      <c r="F171" s="241"/>
      <c r="G171" s="208" t="s">
        <v>320</v>
      </c>
      <c r="H171" s="318">
        <v>37171</v>
      </c>
      <c r="I171" s="208" t="s">
        <v>321</v>
      </c>
      <c r="J171" s="209">
        <v>3.0193287037037033E-3</v>
      </c>
      <c r="K171" s="208" t="s">
        <v>322</v>
      </c>
      <c r="L171" s="213" t="s">
        <v>323</v>
      </c>
      <c r="M171" s="211" t="s">
        <v>473</v>
      </c>
      <c r="N171" s="131"/>
    </row>
    <row r="172" spans="2:15">
      <c r="D172" s="292" t="s">
        <v>1020</v>
      </c>
      <c r="E172" s="207" t="s">
        <v>325</v>
      </c>
      <c r="F172" s="242"/>
      <c r="G172" s="208" t="s">
        <v>326</v>
      </c>
      <c r="H172" s="318">
        <v>37342</v>
      </c>
      <c r="I172" s="208" t="s">
        <v>327</v>
      </c>
      <c r="J172" s="209">
        <v>3.1269675925925926E-3</v>
      </c>
      <c r="K172" s="208" t="s">
        <v>328</v>
      </c>
      <c r="L172" s="210" t="s">
        <v>329</v>
      </c>
      <c r="M172" s="214" t="s">
        <v>474</v>
      </c>
      <c r="N172" s="131"/>
    </row>
    <row r="173" spans="2:15" ht="15.75" thickBot="1">
      <c r="D173" s="292" t="s">
        <v>1021</v>
      </c>
      <c r="E173" s="216" t="s">
        <v>330</v>
      </c>
      <c r="F173" s="241"/>
      <c r="G173" s="208" t="s">
        <v>331</v>
      </c>
      <c r="H173" s="318">
        <v>37713</v>
      </c>
      <c r="I173" s="208" t="s">
        <v>332</v>
      </c>
      <c r="J173" s="209">
        <v>3.2679398148148151E-3</v>
      </c>
      <c r="K173" s="208" t="s">
        <v>333</v>
      </c>
      <c r="L173" s="218" t="s">
        <v>334</v>
      </c>
      <c r="M173" s="214" t="s">
        <v>474</v>
      </c>
      <c r="N173" s="131"/>
    </row>
    <row r="174" spans="2:15">
      <c r="D174" s="292"/>
      <c r="E174" s="310"/>
      <c r="F174" s="310"/>
      <c r="G174" s="208"/>
      <c r="H174" s="293"/>
      <c r="I174" s="208"/>
      <c r="J174" s="209"/>
      <c r="K174" s="208"/>
      <c r="L174" s="311"/>
      <c r="M174" s="312"/>
      <c r="N174" s="131"/>
    </row>
    <row r="176" spans="2:15" ht="23.25">
      <c r="D176" s="20" t="s">
        <v>280</v>
      </c>
      <c r="K176" s="20" t="s">
        <v>312</v>
      </c>
      <c r="O176" s="307"/>
    </row>
    <row r="177" spans="1:16">
      <c r="A177" s="16"/>
      <c r="B177" s="11" t="s">
        <v>0</v>
      </c>
      <c r="C177" s="12" t="s">
        <v>1</v>
      </c>
      <c r="D177" s="12" t="s">
        <v>2</v>
      </c>
      <c r="E177" s="12" t="s">
        <v>3</v>
      </c>
      <c r="F177" s="12"/>
      <c r="G177" s="12" t="s">
        <v>4</v>
      </c>
      <c r="H177" s="12" t="s">
        <v>5</v>
      </c>
      <c r="I177" s="12" t="s">
        <v>6</v>
      </c>
      <c r="J177" s="12" t="s">
        <v>7</v>
      </c>
      <c r="K177" s="12" t="s">
        <v>8</v>
      </c>
      <c r="L177" s="12" t="s">
        <v>9</v>
      </c>
      <c r="M177" s="12" t="s">
        <v>10</v>
      </c>
      <c r="N177" s="12" t="s">
        <v>11</v>
      </c>
      <c r="O177" s="308" t="s">
        <v>12</v>
      </c>
      <c r="P177" s="190"/>
    </row>
    <row r="178" spans="1:16">
      <c r="A178" s="16"/>
      <c r="B178" s="16">
        <v>1</v>
      </c>
      <c r="C178" s="184">
        <v>230</v>
      </c>
      <c r="D178" s="191" t="s">
        <v>13</v>
      </c>
      <c r="E178" s="191" t="s">
        <v>14</v>
      </c>
      <c r="F178" s="191"/>
      <c r="G178" s="185" t="s">
        <v>15</v>
      </c>
      <c r="H178" s="185" t="s">
        <v>16</v>
      </c>
      <c r="I178" s="185" t="s">
        <v>17</v>
      </c>
      <c r="J178" s="185" t="s">
        <v>18</v>
      </c>
      <c r="K178" s="185" t="s">
        <v>19</v>
      </c>
      <c r="L178" s="185" t="s">
        <v>20</v>
      </c>
      <c r="M178" s="185" t="s">
        <v>21</v>
      </c>
      <c r="N178" s="185" t="s">
        <v>22</v>
      </c>
      <c r="O178" s="309" t="s">
        <v>23</v>
      </c>
      <c r="P178" s="16"/>
    </row>
    <row r="179" spans="1:16">
      <c r="A179" s="16"/>
      <c r="B179" s="16">
        <v>2</v>
      </c>
      <c r="C179" s="184">
        <v>212</v>
      </c>
      <c r="D179" s="191" t="s">
        <v>24</v>
      </c>
      <c r="E179" s="191" t="s">
        <v>25</v>
      </c>
      <c r="F179" s="191"/>
      <c r="G179" s="185" t="s">
        <v>15</v>
      </c>
      <c r="H179" s="185" t="s">
        <v>26</v>
      </c>
      <c r="I179" s="185" t="s">
        <v>27</v>
      </c>
      <c r="J179" s="185" t="s">
        <v>28</v>
      </c>
      <c r="K179" s="185" t="s">
        <v>29</v>
      </c>
      <c r="L179" s="185" t="s">
        <v>30</v>
      </c>
      <c r="M179" s="185" t="s">
        <v>31</v>
      </c>
      <c r="N179" s="185" t="s">
        <v>32</v>
      </c>
      <c r="O179" s="309" t="s">
        <v>33</v>
      </c>
      <c r="P179" s="16"/>
    </row>
    <row r="180" spans="1:16">
      <c r="A180" s="16"/>
      <c r="B180" s="16">
        <v>3</v>
      </c>
      <c r="C180" s="184">
        <v>225</v>
      </c>
      <c r="D180" s="191" t="s">
        <v>34</v>
      </c>
      <c r="E180" s="191" t="s">
        <v>35</v>
      </c>
      <c r="F180" s="191"/>
      <c r="G180" s="185" t="s">
        <v>15</v>
      </c>
      <c r="H180" s="185" t="s">
        <v>36</v>
      </c>
      <c r="I180" s="185" t="s">
        <v>37</v>
      </c>
      <c r="J180" s="185" t="s">
        <v>38</v>
      </c>
      <c r="K180" s="185" t="s">
        <v>39</v>
      </c>
      <c r="L180" s="185" t="s">
        <v>40</v>
      </c>
      <c r="M180" s="185" t="s">
        <v>41</v>
      </c>
      <c r="N180" s="185" t="s">
        <v>42</v>
      </c>
      <c r="O180" s="309" t="s">
        <v>43</v>
      </c>
      <c r="P180" s="16"/>
    </row>
    <row r="181" spans="1:16">
      <c r="A181" s="16"/>
      <c r="B181" s="16">
        <v>4</v>
      </c>
      <c r="C181" s="184">
        <v>210</v>
      </c>
      <c r="D181" s="191" t="s">
        <v>44</v>
      </c>
      <c r="E181" s="191" t="s">
        <v>45</v>
      </c>
      <c r="F181" s="191"/>
      <c r="G181" s="185" t="s">
        <v>15</v>
      </c>
      <c r="H181" s="185" t="s">
        <v>46</v>
      </c>
      <c r="I181" s="185" t="s">
        <v>47</v>
      </c>
      <c r="J181" s="185" t="s">
        <v>48</v>
      </c>
      <c r="K181" s="185" t="s">
        <v>49</v>
      </c>
      <c r="L181" s="185" t="s">
        <v>50</v>
      </c>
      <c r="M181" s="185" t="s">
        <v>51</v>
      </c>
      <c r="N181" s="185" t="s">
        <v>52</v>
      </c>
      <c r="O181" s="309" t="s">
        <v>53</v>
      </c>
      <c r="P181" s="16"/>
    </row>
    <row r="182" spans="1:16">
      <c r="A182" s="16"/>
      <c r="B182" s="16">
        <v>5</v>
      </c>
      <c r="C182" s="184">
        <v>208</v>
      </c>
      <c r="D182" s="191" t="s">
        <v>54</v>
      </c>
      <c r="E182" s="191" t="s">
        <v>55</v>
      </c>
      <c r="F182" s="191"/>
      <c r="G182" s="185" t="s">
        <v>15</v>
      </c>
      <c r="H182" s="185" t="s">
        <v>56</v>
      </c>
      <c r="I182" s="185" t="s">
        <v>57</v>
      </c>
      <c r="J182" s="185" t="s">
        <v>58</v>
      </c>
      <c r="K182" s="185" t="s">
        <v>59</v>
      </c>
      <c r="L182" s="185" t="s">
        <v>49</v>
      </c>
      <c r="M182" s="185" t="s">
        <v>60</v>
      </c>
      <c r="N182" s="185" t="s">
        <v>61</v>
      </c>
      <c r="O182" s="309" t="s">
        <v>62</v>
      </c>
      <c r="P182" s="16"/>
    </row>
    <row r="183" spans="1:16">
      <c r="A183" s="16"/>
      <c r="B183" s="16">
        <v>6</v>
      </c>
      <c r="C183" s="184">
        <v>233</v>
      </c>
      <c r="D183" s="191" t="s">
        <v>63</v>
      </c>
      <c r="E183" s="191" t="s">
        <v>64</v>
      </c>
      <c r="F183" s="191"/>
      <c r="G183" s="185" t="s">
        <v>15</v>
      </c>
      <c r="H183" s="185" t="s">
        <v>36</v>
      </c>
      <c r="I183" s="185" t="s">
        <v>65</v>
      </c>
      <c r="J183" s="185" t="s">
        <v>66</v>
      </c>
      <c r="K183" s="185" t="s">
        <v>67</v>
      </c>
      <c r="L183" s="185" t="s">
        <v>47</v>
      </c>
      <c r="M183" s="185" t="s">
        <v>66</v>
      </c>
      <c r="N183" s="185" t="s">
        <v>68</v>
      </c>
      <c r="O183" s="309" t="s">
        <v>69</v>
      </c>
      <c r="P183" s="16"/>
    </row>
    <row r="184" spans="1:16">
      <c r="A184" s="16"/>
      <c r="B184" s="16">
        <v>7</v>
      </c>
      <c r="C184" s="184">
        <v>234</v>
      </c>
      <c r="D184" s="191" t="s">
        <v>70</v>
      </c>
      <c r="E184" s="191" t="s">
        <v>71</v>
      </c>
      <c r="F184" s="191"/>
      <c r="G184" s="185" t="s">
        <v>15</v>
      </c>
      <c r="H184" s="185" t="s">
        <v>72</v>
      </c>
      <c r="I184" s="185" t="s">
        <v>73</v>
      </c>
      <c r="J184" s="185" t="s">
        <v>74</v>
      </c>
      <c r="K184" s="185" t="s">
        <v>75</v>
      </c>
      <c r="L184" s="185" t="s">
        <v>76</v>
      </c>
      <c r="M184" s="185" t="s">
        <v>77</v>
      </c>
      <c r="N184" s="185" t="s">
        <v>78</v>
      </c>
      <c r="O184" s="309" t="s">
        <v>79</v>
      </c>
      <c r="P184" s="16"/>
    </row>
    <row r="185" spans="1:16">
      <c r="A185" s="16"/>
      <c r="B185" s="16">
        <v>8</v>
      </c>
      <c r="C185" s="184">
        <v>207</v>
      </c>
      <c r="D185" s="191" t="s">
        <v>80</v>
      </c>
      <c r="E185" s="191" t="s">
        <v>81</v>
      </c>
      <c r="F185" s="191"/>
      <c r="G185" s="185" t="s">
        <v>15</v>
      </c>
      <c r="H185" s="185" t="s">
        <v>82</v>
      </c>
      <c r="I185" s="185" t="s">
        <v>83</v>
      </c>
      <c r="J185" s="185" t="s">
        <v>84</v>
      </c>
      <c r="K185" s="185" t="s">
        <v>85</v>
      </c>
      <c r="L185" s="185" t="s">
        <v>86</v>
      </c>
      <c r="M185" s="185" t="s">
        <v>87</v>
      </c>
      <c r="N185" s="185" t="s">
        <v>88</v>
      </c>
      <c r="O185" s="309" t="s">
        <v>89</v>
      </c>
      <c r="P185" s="16"/>
    </row>
    <row r="186" spans="1:16">
      <c r="A186" s="16"/>
      <c r="B186" s="16">
        <v>9</v>
      </c>
      <c r="C186" s="184">
        <v>218</v>
      </c>
      <c r="D186" s="191" t="s">
        <v>90</v>
      </c>
      <c r="E186" s="191" t="s">
        <v>91</v>
      </c>
      <c r="F186" s="191"/>
      <c r="G186" s="185" t="s">
        <v>15</v>
      </c>
      <c r="H186" s="185" t="s">
        <v>92</v>
      </c>
      <c r="I186" s="185" t="s">
        <v>93</v>
      </c>
      <c r="J186" s="185" t="s">
        <v>94</v>
      </c>
      <c r="K186" s="185" t="s">
        <v>47</v>
      </c>
      <c r="L186" s="185" t="s">
        <v>95</v>
      </c>
      <c r="M186" s="185" t="s">
        <v>96</v>
      </c>
      <c r="N186" s="185" t="s">
        <v>97</v>
      </c>
      <c r="O186" s="309" t="s">
        <v>98</v>
      </c>
      <c r="P186" s="16"/>
    </row>
    <row r="187" spans="1:16">
      <c r="A187" s="16"/>
      <c r="B187" s="16">
        <v>10</v>
      </c>
      <c r="C187" s="184">
        <v>228</v>
      </c>
      <c r="D187" s="191" t="s">
        <v>99</v>
      </c>
      <c r="E187" s="191" t="s">
        <v>100</v>
      </c>
      <c r="F187" s="191"/>
      <c r="G187" s="185" t="s">
        <v>15</v>
      </c>
      <c r="H187" s="185" t="s">
        <v>101</v>
      </c>
      <c r="I187" s="185" t="s">
        <v>102</v>
      </c>
      <c r="J187" s="185" t="s">
        <v>103</v>
      </c>
      <c r="K187" s="185" t="s">
        <v>104</v>
      </c>
      <c r="L187" s="185" t="s">
        <v>105</v>
      </c>
      <c r="M187" s="185" t="s">
        <v>67</v>
      </c>
      <c r="N187" s="185" t="s">
        <v>106</v>
      </c>
      <c r="O187" s="309" t="s">
        <v>107</v>
      </c>
      <c r="P187" s="16"/>
    </row>
    <row r="188" spans="1:16">
      <c r="A188" s="16"/>
      <c r="B188" s="16">
        <v>11</v>
      </c>
      <c r="C188" s="184">
        <v>203</v>
      </c>
      <c r="D188" s="191" t="s">
        <v>108</v>
      </c>
      <c r="E188" s="191" t="s">
        <v>109</v>
      </c>
      <c r="F188" s="191"/>
      <c r="G188" s="185" t="s">
        <v>15</v>
      </c>
      <c r="H188" s="185" t="s">
        <v>31</v>
      </c>
      <c r="I188" s="185" t="s">
        <v>110</v>
      </c>
      <c r="J188" s="185" t="s">
        <v>111</v>
      </c>
      <c r="K188" s="185" t="s">
        <v>112</v>
      </c>
      <c r="L188" s="185" t="s">
        <v>113</v>
      </c>
      <c r="M188" s="185" t="s">
        <v>114</v>
      </c>
      <c r="N188" s="185" t="s">
        <v>111</v>
      </c>
      <c r="O188" s="309" t="s">
        <v>115</v>
      </c>
      <c r="P188" s="16"/>
    </row>
    <row r="189" spans="1:16">
      <c r="A189" s="16"/>
      <c r="B189" s="16">
        <v>12</v>
      </c>
      <c r="C189" s="184">
        <v>215</v>
      </c>
      <c r="D189" s="191" t="s">
        <v>116</v>
      </c>
      <c r="E189" s="191" t="s">
        <v>117</v>
      </c>
      <c r="F189" s="191"/>
      <c r="G189" s="185" t="s">
        <v>15</v>
      </c>
      <c r="H189" s="185" t="s">
        <v>118</v>
      </c>
      <c r="I189" s="185" t="s">
        <v>119</v>
      </c>
      <c r="J189" s="185" t="s">
        <v>120</v>
      </c>
      <c r="K189" s="185" t="s">
        <v>121</v>
      </c>
      <c r="L189" s="185" t="s">
        <v>122</v>
      </c>
      <c r="M189" s="185" t="s">
        <v>123</v>
      </c>
      <c r="N189" s="185" t="s">
        <v>124</v>
      </c>
      <c r="O189" s="309" t="s">
        <v>125</v>
      </c>
      <c r="P189" s="16"/>
    </row>
    <row r="190" spans="1:16">
      <c r="A190" s="16"/>
      <c r="B190" s="187">
        <v>13</v>
      </c>
      <c r="C190" s="188">
        <v>214</v>
      </c>
      <c r="D190" s="192" t="s">
        <v>481</v>
      </c>
      <c r="E190" s="192" t="s">
        <v>127</v>
      </c>
      <c r="F190" s="192"/>
      <c r="G190" s="189" t="s">
        <v>15</v>
      </c>
      <c r="H190" s="189" t="s">
        <v>128</v>
      </c>
      <c r="I190" s="189" t="s">
        <v>129</v>
      </c>
      <c r="J190" s="189" t="s">
        <v>130</v>
      </c>
      <c r="K190" s="189" t="s">
        <v>131</v>
      </c>
      <c r="L190" s="189" t="s">
        <v>132</v>
      </c>
      <c r="M190" s="189" t="s">
        <v>133</v>
      </c>
      <c r="N190" s="189" t="s">
        <v>134</v>
      </c>
      <c r="O190" s="309" t="s">
        <v>135</v>
      </c>
      <c r="P190" s="186"/>
    </row>
    <row r="191" spans="1:16">
      <c r="A191" s="16"/>
      <c r="B191" s="16">
        <v>14</v>
      </c>
      <c r="C191" s="184">
        <v>227</v>
      </c>
      <c r="D191" s="191" t="s">
        <v>136</v>
      </c>
      <c r="E191" s="191" t="s">
        <v>137</v>
      </c>
      <c r="F191" s="191"/>
      <c r="G191" s="185" t="s">
        <v>15</v>
      </c>
      <c r="H191" s="185" t="s">
        <v>138</v>
      </c>
      <c r="I191" s="185" t="s">
        <v>27</v>
      </c>
      <c r="J191" s="185" t="s">
        <v>139</v>
      </c>
      <c r="K191" s="185" t="s">
        <v>140</v>
      </c>
      <c r="L191" s="185" t="s">
        <v>141</v>
      </c>
      <c r="M191" s="185" t="s">
        <v>142</v>
      </c>
      <c r="N191" s="185" t="s">
        <v>143</v>
      </c>
      <c r="O191" s="309" t="s">
        <v>144</v>
      </c>
      <c r="P191" s="16"/>
    </row>
    <row r="192" spans="1:16">
      <c r="A192" s="16"/>
      <c r="B192" s="16">
        <v>15</v>
      </c>
      <c r="C192" s="184">
        <v>232</v>
      </c>
      <c r="D192" s="191" t="s">
        <v>145</v>
      </c>
      <c r="E192" s="191" t="s">
        <v>146</v>
      </c>
      <c r="F192" s="191"/>
      <c r="G192" s="185" t="s">
        <v>15</v>
      </c>
      <c r="H192" s="185" t="s">
        <v>110</v>
      </c>
      <c r="I192" s="185" t="s">
        <v>147</v>
      </c>
      <c r="J192" s="185" t="s">
        <v>148</v>
      </c>
      <c r="K192" s="185" t="s">
        <v>149</v>
      </c>
      <c r="L192" s="185" t="s">
        <v>150</v>
      </c>
      <c r="M192" s="185" t="s">
        <v>151</v>
      </c>
      <c r="N192" s="185" t="s">
        <v>152</v>
      </c>
      <c r="O192" s="309" t="s">
        <v>153</v>
      </c>
      <c r="P192" s="16"/>
    </row>
    <row r="193" spans="1:16">
      <c r="A193" s="16"/>
      <c r="B193" s="16">
        <v>16</v>
      </c>
      <c r="C193" s="184">
        <v>209</v>
      </c>
      <c r="D193" s="191" t="s">
        <v>154</v>
      </c>
      <c r="E193" s="191" t="s">
        <v>155</v>
      </c>
      <c r="F193" s="191"/>
      <c r="G193" s="185" t="s">
        <v>15</v>
      </c>
      <c r="H193" s="185" t="s">
        <v>156</v>
      </c>
      <c r="I193" s="185" t="s">
        <v>157</v>
      </c>
      <c r="J193" s="185" t="s">
        <v>158</v>
      </c>
      <c r="K193" s="185" t="s">
        <v>159</v>
      </c>
      <c r="L193" s="185" t="s">
        <v>73</v>
      </c>
      <c r="M193" s="185" t="s">
        <v>160</v>
      </c>
      <c r="N193" s="185" t="s">
        <v>94</v>
      </c>
      <c r="O193" s="309" t="s">
        <v>161</v>
      </c>
      <c r="P193" s="16"/>
    </row>
    <row r="194" spans="1:16">
      <c r="A194" s="16"/>
      <c r="B194" s="16">
        <v>17</v>
      </c>
      <c r="C194" s="184">
        <v>213</v>
      </c>
      <c r="D194" s="191" t="s">
        <v>162</v>
      </c>
      <c r="E194" s="191" t="s">
        <v>163</v>
      </c>
      <c r="F194" s="191"/>
      <c r="G194" s="185" t="s">
        <v>15</v>
      </c>
      <c r="H194" s="185" t="s">
        <v>85</v>
      </c>
      <c r="I194" s="185" t="s">
        <v>164</v>
      </c>
      <c r="J194" s="185" t="s">
        <v>165</v>
      </c>
      <c r="K194" s="185" t="s">
        <v>166</v>
      </c>
      <c r="L194" s="185" t="s">
        <v>122</v>
      </c>
      <c r="M194" s="185" t="s">
        <v>167</v>
      </c>
      <c r="N194" s="185" t="s">
        <v>168</v>
      </c>
      <c r="O194" s="309" t="s">
        <v>169</v>
      </c>
      <c r="P194" s="16"/>
    </row>
    <row r="195" spans="1:16">
      <c r="A195" s="16"/>
      <c r="B195" s="16">
        <v>18</v>
      </c>
      <c r="C195" s="184">
        <v>231</v>
      </c>
      <c r="D195" s="191" t="s">
        <v>170</v>
      </c>
      <c r="E195" s="191" t="s">
        <v>171</v>
      </c>
      <c r="F195" s="191"/>
      <c r="G195" s="185" t="s">
        <v>15</v>
      </c>
      <c r="H195" s="185" t="s">
        <v>82</v>
      </c>
      <c r="I195" s="185" t="s">
        <v>172</v>
      </c>
      <c r="J195" s="185" t="s">
        <v>68</v>
      </c>
      <c r="K195" s="185" t="s">
        <v>173</v>
      </c>
      <c r="L195" s="185" t="s">
        <v>174</v>
      </c>
      <c r="M195" s="185" t="s">
        <v>175</v>
      </c>
      <c r="N195" s="185" t="s">
        <v>176</v>
      </c>
      <c r="O195" s="309" t="s">
        <v>177</v>
      </c>
      <c r="P195" s="16"/>
    </row>
    <row r="196" spans="1:16">
      <c r="A196" s="16"/>
      <c r="B196" s="16">
        <v>19</v>
      </c>
      <c r="C196" s="184">
        <v>222</v>
      </c>
      <c r="D196" s="191" t="s">
        <v>178</v>
      </c>
      <c r="E196" s="191" t="s">
        <v>179</v>
      </c>
      <c r="F196" s="191"/>
      <c r="G196" s="185" t="s">
        <v>15</v>
      </c>
      <c r="H196" s="185" t="s">
        <v>180</v>
      </c>
      <c r="I196" s="185" t="s">
        <v>181</v>
      </c>
      <c r="J196" s="185" t="s">
        <v>182</v>
      </c>
      <c r="K196" s="185" t="s">
        <v>183</v>
      </c>
      <c r="L196" s="185" t="s">
        <v>114</v>
      </c>
      <c r="M196" s="185" t="s">
        <v>184</v>
      </c>
      <c r="N196" s="185" t="s">
        <v>185</v>
      </c>
      <c r="O196" s="309" t="s">
        <v>186</v>
      </c>
      <c r="P196" s="16"/>
    </row>
    <row r="197" spans="1:16">
      <c r="A197" s="16"/>
      <c r="B197" s="16">
        <v>20</v>
      </c>
      <c r="C197" s="184">
        <v>224</v>
      </c>
      <c r="D197" s="191" t="s">
        <v>187</v>
      </c>
      <c r="E197" s="191" t="s">
        <v>188</v>
      </c>
      <c r="F197" s="191"/>
      <c r="G197" s="185" t="s">
        <v>15</v>
      </c>
      <c r="H197" s="185" t="s">
        <v>189</v>
      </c>
      <c r="I197" s="185" t="s">
        <v>190</v>
      </c>
      <c r="J197" s="185" t="s">
        <v>191</v>
      </c>
      <c r="K197" s="185" t="s">
        <v>192</v>
      </c>
      <c r="L197" s="185" t="s">
        <v>101</v>
      </c>
      <c r="M197" s="185" t="s">
        <v>52</v>
      </c>
      <c r="N197" s="185" t="s">
        <v>193</v>
      </c>
      <c r="O197" s="309" t="s">
        <v>194</v>
      </c>
      <c r="P197" s="16"/>
    </row>
    <row r="198" spans="1:16">
      <c r="A198" s="16"/>
      <c r="B198" s="16">
        <v>21</v>
      </c>
      <c r="C198" s="184">
        <v>201</v>
      </c>
      <c r="D198" s="191" t="s">
        <v>195</v>
      </c>
      <c r="E198" s="191" t="s">
        <v>196</v>
      </c>
      <c r="F198" s="191"/>
      <c r="G198" s="185" t="s">
        <v>15</v>
      </c>
      <c r="H198" s="185" t="s">
        <v>197</v>
      </c>
      <c r="I198" s="185" t="s">
        <v>198</v>
      </c>
      <c r="J198" s="185" t="s">
        <v>199</v>
      </c>
      <c r="K198" s="185" t="s">
        <v>200</v>
      </c>
      <c r="L198" s="185" t="s">
        <v>201</v>
      </c>
      <c r="M198" s="185" t="s">
        <v>202</v>
      </c>
      <c r="N198" s="185" t="s">
        <v>203</v>
      </c>
      <c r="O198" s="309" t="s">
        <v>204</v>
      </c>
      <c r="P198" s="16"/>
    </row>
    <row r="199" spans="1:16">
      <c r="A199" s="16"/>
      <c r="B199" s="16">
        <v>22</v>
      </c>
      <c r="C199" s="184">
        <v>226</v>
      </c>
      <c r="D199" s="191" t="s">
        <v>205</v>
      </c>
      <c r="E199" s="191" t="s">
        <v>206</v>
      </c>
      <c r="F199" s="191"/>
      <c r="G199" s="185" t="s">
        <v>15</v>
      </c>
      <c r="H199" s="185" t="s">
        <v>207</v>
      </c>
      <c r="I199" s="185" t="s">
        <v>208</v>
      </c>
      <c r="J199" s="185" t="s">
        <v>97</v>
      </c>
      <c r="K199" s="185" t="s">
        <v>209</v>
      </c>
      <c r="L199" s="185" t="s">
        <v>118</v>
      </c>
      <c r="M199" s="185" t="s">
        <v>210</v>
      </c>
      <c r="N199" s="185" t="s">
        <v>211</v>
      </c>
      <c r="O199" s="309" t="s">
        <v>212</v>
      </c>
      <c r="P199" s="16"/>
    </row>
    <row r="200" spans="1:16">
      <c r="A200" s="16"/>
      <c r="B200" s="16">
        <v>23</v>
      </c>
      <c r="C200" s="184">
        <v>205</v>
      </c>
      <c r="D200" s="191" t="s">
        <v>213</v>
      </c>
      <c r="E200" s="191" t="s">
        <v>214</v>
      </c>
      <c r="F200" s="191"/>
      <c r="G200" s="185" t="s">
        <v>15</v>
      </c>
      <c r="H200" s="185" t="s">
        <v>215</v>
      </c>
      <c r="I200" s="185" t="s">
        <v>216</v>
      </c>
      <c r="J200" s="185" t="s">
        <v>217</v>
      </c>
      <c r="K200" s="185" t="s">
        <v>151</v>
      </c>
      <c r="L200" s="185" t="s">
        <v>139</v>
      </c>
      <c r="M200" s="185" t="s">
        <v>211</v>
      </c>
      <c r="N200" s="185" t="s">
        <v>218</v>
      </c>
      <c r="O200" s="309" t="s">
        <v>219</v>
      </c>
      <c r="P200" s="16"/>
    </row>
    <row r="201" spans="1:16">
      <c r="A201" s="16"/>
      <c r="B201" s="16">
        <v>24</v>
      </c>
      <c r="C201" s="184">
        <v>217</v>
      </c>
      <c r="D201" s="191" t="s">
        <v>220</v>
      </c>
      <c r="E201" s="193"/>
      <c r="F201" s="193"/>
      <c r="G201" s="185" t="s">
        <v>15</v>
      </c>
      <c r="H201" s="185" t="s">
        <v>221</v>
      </c>
      <c r="I201" s="185" t="s">
        <v>222</v>
      </c>
      <c r="J201" s="185" t="s">
        <v>203</v>
      </c>
      <c r="K201" s="185" t="s">
        <v>223</v>
      </c>
      <c r="L201" s="185" t="s">
        <v>224</v>
      </c>
      <c r="M201" s="185" t="s">
        <v>225</v>
      </c>
      <c r="N201" s="185" t="s">
        <v>226</v>
      </c>
      <c r="O201" s="309" t="s">
        <v>227</v>
      </c>
      <c r="P201" s="16"/>
    </row>
    <row r="202" spans="1:16">
      <c r="A202" s="16"/>
      <c r="B202" s="16">
        <v>25</v>
      </c>
      <c r="C202" s="184">
        <v>201</v>
      </c>
      <c r="D202" s="191" t="s">
        <v>228</v>
      </c>
      <c r="E202" s="191" t="s">
        <v>229</v>
      </c>
      <c r="F202" s="191"/>
      <c r="G202" s="185" t="s">
        <v>15</v>
      </c>
      <c r="H202" s="185" t="s">
        <v>230</v>
      </c>
      <c r="I202" s="185" t="s">
        <v>231</v>
      </c>
      <c r="J202" s="185" t="s">
        <v>104</v>
      </c>
      <c r="K202" s="185" t="s">
        <v>182</v>
      </c>
      <c r="L202" s="185" t="s">
        <v>232</v>
      </c>
      <c r="M202" s="185" t="s">
        <v>233</v>
      </c>
      <c r="N202" s="185" t="s">
        <v>234</v>
      </c>
      <c r="O202" s="309" t="s">
        <v>235</v>
      </c>
      <c r="P202" s="16"/>
    </row>
    <row r="203" spans="1:16">
      <c r="A203" s="16"/>
      <c r="B203" s="16">
        <v>26</v>
      </c>
      <c r="C203" s="184">
        <v>216</v>
      </c>
      <c r="D203" s="191" t="s">
        <v>236</v>
      </c>
      <c r="E203" s="193"/>
      <c r="F203" s="193"/>
      <c r="G203" s="185" t="s">
        <v>15</v>
      </c>
      <c r="H203" s="185" t="s">
        <v>237</v>
      </c>
      <c r="I203" s="185" t="s">
        <v>238</v>
      </c>
      <c r="J203" s="185" t="s">
        <v>239</v>
      </c>
      <c r="K203" s="185" t="s">
        <v>240</v>
      </c>
      <c r="L203" s="185" t="s">
        <v>185</v>
      </c>
      <c r="M203" s="185" t="s">
        <v>241</v>
      </c>
      <c r="N203" s="185" t="s">
        <v>221</v>
      </c>
      <c r="O203" s="309" t="s">
        <v>242</v>
      </c>
      <c r="P203" s="16"/>
    </row>
    <row r="204" spans="1:16">
      <c r="A204" s="16"/>
      <c r="B204" s="16">
        <v>27</v>
      </c>
      <c r="C204" s="184">
        <v>206</v>
      </c>
      <c r="D204" s="191" t="s">
        <v>243</v>
      </c>
      <c r="E204" s="191" t="s">
        <v>244</v>
      </c>
      <c r="F204" s="191"/>
      <c r="G204" s="185" t="s">
        <v>15</v>
      </c>
      <c r="H204" s="185" t="s">
        <v>230</v>
      </c>
      <c r="I204" s="185" t="s">
        <v>245</v>
      </c>
      <c r="J204" s="185" t="s">
        <v>246</v>
      </c>
      <c r="K204" s="185" t="s">
        <v>216</v>
      </c>
      <c r="L204" s="185" t="s">
        <v>191</v>
      </c>
      <c r="M204" s="185" t="s">
        <v>247</v>
      </c>
      <c r="N204" s="185" t="s">
        <v>139</v>
      </c>
      <c r="O204" s="309" t="s">
        <v>248</v>
      </c>
      <c r="P204" s="16"/>
    </row>
    <row r="205" spans="1:16">
      <c r="A205" s="16"/>
      <c r="B205" s="16">
        <v>28</v>
      </c>
      <c r="C205" s="184">
        <v>220</v>
      </c>
      <c r="D205" s="191" t="s">
        <v>249</v>
      </c>
      <c r="E205" s="191" t="s">
        <v>250</v>
      </c>
      <c r="F205" s="191"/>
      <c r="G205" s="185" t="s">
        <v>15</v>
      </c>
      <c r="H205" s="185" t="s">
        <v>230</v>
      </c>
      <c r="I205" s="185" t="s">
        <v>251</v>
      </c>
      <c r="J205" s="185" t="s">
        <v>252</v>
      </c>
      <c r="K205" s="185" t="s">
        <v>184</v>
      </c>
      <c r="L205" s="185" t="s">
        <v>253</v>
      </c>
      <c r="M205" s="185" t="s">
        <v>254</v>
      </c>
      <c r="N205" s="185" t="s">
        <v>255</v>
      </c>
      <c r="O205" s="309" t="s">
        <v>256</v>
      </c>
      <c r="P205" s="16"/>
    </row>
    <row r="206" spans="1:16">
      <c r="A206" s="16"/>
      <c r="B206" s="16">
        <v>29</v>
      </c>
      <c r="C206" s="184">
        <v>204</v>
      </c>
      <c r="D206" s="191" t="s">
        <v>257</v>
      </c>
      <c r="E206" s="191" t="s">
        <v>258</v>
      </c>
      <c r="F206" s="191"/>
      <c r="G206" s="185" t="s">
        <v>15</v>
      </c>
      <c r="H206" s="185" t="s">
        <v>173</v>
      </c>
      <c r="I206" s="185" t="s">
        <v>259</v>
      </c>
      <c r="J206" s="185" t="s">
        <v>253</v>
      </c>
      <c r="K206" s="185" t="s">
        <v>260</v>
      </c>
      <c r="L206" s="185" t="s">
        <v>261</v>
      </c>
      <c r="M206" s="185" t="s">
        <v>150</v>
      </c>
      <c r="N206" s="185" t="s">
        <v>262</v>
      </c>
      <c r="O206" s="309" t="s">
        <v>263</v>
      </c>
      <c r="P206" s="16"/>
    </row>
    <row r="207" spans="1:16">
      <c r="A207" s="16"/>
      <c r="B207" s="16"/>
      <c r="C207" s="16"/>
      <c r="D207" s="16"/>
      <c r="E207" s="16"/>
      <c r="F207" s="16"/>
      <c r="G207" s="16"/>
      <c r="O207" s="307"/>
      <c r="P207" s="16"/>
    </row>
    <row r="208" spans="1:16" ht="23.25">
      <c r="D208" s="20" t="s">
        <v>351</v>
      </c>
      <c r="K208" s="20" t="s">
        <v>312</v>
      </c>
    </row>
    <row r="209" spans="2:16">
      <c r="O209" s="307"/>
    </row>
    <row r="210" spans="2:16">
      <c r="B210" s="11" t="s">
        <v>0</v>
      </c>
      <c r="C210" s="12" t="s">
        <v>1</v>
      </c>
      <c r="D210" s="13" t="s">
        <v>2</v>
      </c>
      <c r="E210" s="13" t="s">
        <v>3</v>
      </c>
      <c r="F210" s="13"/>
      <c r="G210" s="12" t="s">
        <v>4</v>
      </c>
      <c r="H210" s="12" t="s">
        <v>5</v>
      </c>
      <c r="I210" s="12" t="s">
        <v>6</v>
      </c>
      <c r="J210" s="12" t="s">
        <v>7</v>
      </c>
      <c r="K210" s="12" t="s">
        <v>8</v>
      </c>
      <c r="L210" s="12" t="s">
        <v>9</v>
      </c>
      <c r="M210" s="12" t="s">
        <v>10</v>
      </c>
      <c r="N210" s="12" t="s">
        <v>11</v>
      </c>
      <c r="O210" s="308" t="s">
        <v>12</v>
      </c>
      <c r="P210" s="14"/>
    </row>
    <row r="211" spans="2:16">
      <c r="B211" s="117">
        <v>1</v>
      </c>
      <c r="C211" s="117">
        <v>302</v>
      </c>
      <c r="D211" s="118" t="s">
        <v>393</v>
      </c>
      <c r="E211" s="118" t="s">
        <v>352</v>
      </c>
      <c r="F211" s="118"/>
      <c r="G211" s="117" t="s">
        <v>353</v>
      </c>
      <c r="H211" s="116">
        <v>0.38541666666666669</v>
      </c>
      <c r="I211" s="116">
        <v>0.38125000000000003</v>
      </c>
      <c r="J211" s="116">
        <v>0.38750000000000001</v>
      </c>
      <c r="K211" s="116">
        <v>0.3833333333333333</v>
      </c>
      <c r="L211" s="116">
        <v>0.44375000000000003</v>
      </c>
      <c r="M211" s="116">
        <v>0.3888888888888889</v>
      </c>
      <c r="N211" s="116">
        <v>0.3840277777777778</v>
      </c>
      <c r="O211" s="305">
        <v>4.5879629629629631E-2</v>
      </c>
    </row>
    <row r="212" spans="2:16">
      <c r="B212" s="117">
        <v>2</v>
      </c>
      <c r="C212" s="117">
        <v>303</v>
      </c>
      <c r="D212" s="118" t="s">
        <v>437</v>
      </c>
      <c r="E212" s="118" t="s">
        <v>354</v>
      </c>
      <c r="F212" s="118"/>
      <c r="G212" s="117" t="s">
        <v>353</v>
      </c>
      <c r="H212" s="116">
        <v>0.39097222222222222</v>
      </c>
      <c r="I212" s="116">
        <v>0.43263888888888885</v>
      </c>
      <c r="J212" s="116">
        <v>0.43472222222222223</v>
      </c>
      <c r="K212" s="116">
        <v>0.42777777777777781</v>
      </c>
      <c r="L212" s="116">
        <v>0.39305555555555555</v>
      </c>
      <c r="M212" s="116">
        <v>0.375</v>
      </c>
      <c r="N212" s="116">
        <v>0.39166666666666666</v>
      </c>
      <c r="O212" s="305">
        <v>4.7384259259259258E-2</v>
      </c>
    </row>
    <row r="213" spans="2:16">
      <c r="B213" s="117">
        <v>3</v>
      </c>
      <c r="C213" s="117">
        <v>332</v>
      </c>
      <c r="D213" s="118" t="s">
        <v>436</v>
      </c>
      <c r="E213" s="118" t="s">
        <v>355</v>
      </c>
      <c r="F213" s="118"/>
      <c r="G213" s="117" t="s">
        <v>353</v>
      </c>
      <c r="H213" s="116">
        <v>0.43541666666666662</v>
      </c>
      <c r="I213" s="116">
        <v>0.42430555555555555</v>
      </c>
      <c r="J213" s="116">
        <v>0.43055555555555558</v>
      </c>
      <c r="K213" s="116">
        <v>0.4381944444444445</v>
      </c>
      <c r="L213" s="116">
        <v>0.44166666666666665</v>
      </c>
      <c r="M213" s="116">
        <v>0.44305555555555554</v>
      </c>
      <c r="N213" s="116">
        <v>0.44513888888888892</v>
      </c>
      <c r="O213" s="305">
        <v>5.0937499999999997E-2</v>
      </c>
    </row>
    <row r="214" spans="2:16">
      <c r="B214" s="122">
        <v>4</v>
      </c>
      <c r="C214" s="122">
        <v>301</v>
      </c>
      <c r="D214" s="123" t="s">
        <v>444</v>
      </c>
      <c r="E214" s="123" t="s">
        <v>356</v>
      </c>
      <c r="F214" s="123"/>
      <c r="G214" s="122" t="s">
        <v>353</v>
      </c>
      <c r="H214" s="124">
        <v>0.43055555555555558</v>
      </c>
      <c r="I214" s="124">
        <v>0.42986111111111108</v>
      </c>
      <c r="J214" s="124">
        <v>0.42777777777777781</v>
      </c>
      <c r="K214" s="124">
        <v>0.46249999999999997</v>
      </c>
      <c r="L214" s="124">
        <v>0.47083333333333338</v>
      </c>
      <c r="M214" s="125">
        <v>0.49027777777777781</v>
      </c>
      <c r="N214" s="124">
        <v>0.62638888888888888</v>
      </c>
      <c r="O214" s="305">
        <v>5.5601851851851847E-2</v>
      </c>
      <c r="P214" s="126"/>
    </row>
    <row r="215" spans="2:16">
      <c r="B215" s="117">
        <v>5</v>
      </c>
      <c r="C215" s="117">
        <v>339</v>
      </c>
      <c r="D215" s="118" t="s">
        <v>435</v>
      </c>
      <c r="E215" s="118" t="s">
        <v>357</v>
      </c>
      <c r="F215" s="118"/>
      <c r="G215" s="117" t="s">
        <v>353</v>
      </c>
      <c r="H215" s="116">
        <v>0.51180555555555551</v>
      </c>
      <c r="I215" s="116">
        <v>0.54027777777777775</v>
      </c>
      <c r="J215" s="116">
        <v>0.5</v>
      </c>
      <c r="K215" s="116">
        <v>0.50624999999999998</v>
      </c>
      <c r="L215" s="116">
        <v>0.51180555555555551</v>
      </c>
      <c r="M215" s="116">
        <v>0.5229166666666667</v>
      </c>
      <c r="N215" s="116">
        <v>0.49722222222222223</v>
      </c>
      <c r="O215" s="305">
        <v>5.9814814814814814E-2</v>
      </c>
    </row>
    <row r="216" spans="2:16">
      <c r="B216" s="117">
        <v>6</v>
      </c>
      <c r="C216" s="117">
        <v>304</v>
      </c>
      <c r="D216" s="118" t="s">
        <v>434</v>
      </c>
      <c r="E216" s="118" t="s">
        <v>358</v>
      </c>
      <c r="F216" s="118"/>
      <c r="G216" s="117" t="s">
        <v>353</v>
      </c>
      <c r="H216" s="116">
        <v>0.48541666666666666</v>
      </c>
      <c r="I216" s="116">
        <v>0.49583333333333335</v>
      </c>
      <c r="J216" s="116">
        <v>0.4993055555555555</v>
      </c>
      <c r="K216" s="116">
        <v>0.56736111111111109</v>
      </c>
      <c r="L216" s="116">
        <v>0.51250000000000007</v>
      </c>
      <c r="M216" s="116">
        <v>0.54166666666666663</v>
      </c>
      <c r="N216" s="116">
        <v>0.52500000000000002</v>
      </c>
      <c r="O216" s="305">
        <v>6.0416666666666667E-2</v>
      </c>
    </row>
    <row r="217" spans="2:16">
      <c r="B217" s="117">
        <v>7</v>
      </c>
      <c r="C217" s="117">
        <v>305</v>
      </c>
      <c r="D217" s="118" t="s">
        <v>395</v>
      </c>
      <c r="E217" s="118" t="s">
        <v>359</v>
      </c>
      <c r="F217" s="118"/>
      <c r="G217" s="117" t="s">
        <v>353</v>
      </c>
      <c r="H217" s="116">
        <v>0.44791666666666669</v>
      </c>
      <c r="I217" s="116">
        <v>0.4777777777777778</v>
      </c>
      <c r="J217" s="116">
        <v>0.48472222222222222</v>
      </c>
      <c r="K217" s="116">
        <v>0.71180555555555547</v>
      </c>
      <c r="L217" s="116">
        <v>0.4861111111111111</v>
      </c>
      <c r="M217" s="116">
        <v>0.48541666666666666</v>
      </c>
      <c r="N217" s="116">
        <v>0.60972222222222217</v>
      </c>
      <c r="O217" s="305">
        <v>6.1678240740740742E-2</v>
      </c>
    </row>
    <row r="218" spans="2:16">
      <c r="B218" s="117">
        <v>8</v>
      </c>
      <c r="C218" s="117">
        <v>309</v>
      </c>
      <c r="D218" s="118" t="s">
        <v>394</v>
      </c>
      <c r="E218" s="118" t="s">
        <v>360</v>
      </c>
      <c r="F218" s="118"/>
      <c r="G218" s="117" t="s">
        <v>353</v>
      </c>
      <c r="H218" s="116">
        <v>0.4465277777777778</v>
      </c>
      <c r="I218" s="116">
        <v>0.59652777777777777</v>
      </c>
      <c r="J218" s="116">
        <v>0.6</v>
      </c>
      <c r="K218" s="116">
        <v>0.49583333333333335</v>
      </c>
      <c r="L218" s="116">
        <v>0.53055555555555556</v>
      </c>
      <c r="M218" s="116">
        <v>0.55555555555555558</v>
      </c>
      <c r="N218" s="116">
        <v>0.49374999999999997</v>
      </c>
      <c r="O218" s="305">
        <v>6.1956018518518514E-2</v>
      </c>
    </row>
    <row r="219" spans="2:16">
      <c r="B219" s="117">
        <v>9</v>
      </c>
      <c r="C219" s="117">
        <v>319</v>
      </c>
      <c r="D219" s="118" t="s">
        <v>433</v>
      </c>
      <c r="E219" s="118" t="s">
        <v>361</v>
      </c>
      <c r="F219" s="118"/>
      <c r="G219" s="117" t="s">
        <v>353</v>
      </c>
      <c r="H219" s="116">
        <v>0.52500000000000002</v>
      </c>
      <c r="I219" s="116">
        <v>0.53541666666666665</v>
      </c>
      <c r="J219" s="116">
        <v>0.50694444444444442</v>
      </c>
      <c r="K219" s="116">
        <v>0.54722222222222217</v>
      </c>
      <c r="L219" s="116">
        <v>0.52569444444444446</v>
      </c>
      <c r="M219" s="116">
        <v>0.57986111111111105</v>
      </c>
      <c r="N219" s="116">
        <v>0.52430555555555558</v>
      </c>
      <c r="O219" s="305">
        <v>6.2384259259259257E-2</v>
      </c>
    </row>
    <row r="220" spans="2:16">
      <c r="B220" s="117">
        <v>10</v>
      </c>
      <c r="C220" s="117">
        <v>354</v>
      </c>
      <c r="D220" s="118" t="s">
        <v>432</v>
      </c>
      <c r="E220" s="118"/>
      <c r="F220" s="118"/>
      <c r="G220" s="117" t="s">
        <v>353</v>
      </c>
      <c r="H220" s="116">
        <v>0.55208333333333337</v>
      </c>
      <c r="I220" s="116">
        <v>0.57222222222222219</v>
      </c>
      <c r="J220" s="116">
        <v>0.56736111111111109</v>
      </c>
      <c r="K220" s="116">
        <v>0.59791666666666665</v>
      </c>
      <c r="L220" s="116">
        <v>0.48125000000000001</v>
      </c>
      <c r="M220" s="116">
        <v>0.50138888888888888</v>
      </c>
      <c r="N220" s="116">
        <v>0.47847222222222219</v>
      </c>
      <c r="O220" s="305">
        <v>6.2476851851851846E-2</v>
      </c>
    </row>
    <row r="221" spans="2:16">
      <c r="B221" s="117">
        <v>11</v>
      </c>
      <c r="C221" s="117">
        <v>334</v>
      </c>
      <c r="D221" s="118" t="s">
        <v>431</v>
      </c>
      <c r="E221" s="118" t="s">
        <v>362</v>
      </c>
      <c r="F221" s="118"/>
      <c r="G221" s="117" t="s">
        <v>353</v>
      </c>
      <c r="H221" s="116">
        <v>0.51527777777777783</v>
      </c>
      <c r="I221" s="116">
        <v>0.50416666666666665</v>
      </c>
      <c r="J221" s="116">
        <v>0.58611111111111114</v>
      </c>
      <c r="K221" s="116">
        <v>0.53472222222222221</v>
      </c>
      <c r="L221" s="116">
        <v>0.55069444444444449</v>
      </c>
      <c r="M221" s="116">
        <v>0.57013888888888886</v>
      </c>
      <c r="N221" s="116">
        <v>0.49374999999999997</v>
      </c>
      <c r="O221" s="305">
        <v>6.2546296296296294E-2</v>
      </c>
    </row>
    <row r="222" spans="2:16">
      <c r="B222" s="117">
        <v>12</v>
      </c>
      <c r="C222" s="117">
        <v>320</v>
      </c>
      <c r="D222" s="118" t="s">
        <v>430</v>
      </c>
      <c r="E222" s="118" t="s">
        <v>361</v>
      </c>
      <c r="F222" s="118"/>
      <c r="G222" s="117" t="s">
        <v>353</v>
      </c>
      <c r="H222" s="116">
        <v>0.59444444444444444</v>
      </c>
      <c r="I222" s="116">
        <v>0.46527777777777773</v>
      </c>
      <c r="J222" s="116">
        <v>0.5083333333333333</v>
      </c>
      <c r="K222" s="116">
        <v>0.52708333333333335</v>
      </c>
      <c r="L222" s="116">
        <v>0.55763888888888891</v>
      </c>
      <c r="M222" s="116">
        <v>0.56805555555555554</v>
      </c>
      <c r="N222" s="116">
        <v>0.54583333333333328</v>
      </c>
      <c r="O222" s="305">
        <v>6.2743055555555552E-2</v>
      </c>
    </row>
    <row r="223" spans="2:16">
      <c r="B223" s="117">
        <v>13</v>
      </c>
      <c r="C223" s="117">
        <v>355</v>
      </c>
      <c r="D223" s="118" t="s">
        <v>396</v>
      </c>
      <c r="E223" s="118" t="s">
        <v>363</v>
      </c>
      <c r="F223" s="118"/>
      <c r="G223" s="117" t="s">
        <v>353</v>
      </c>
      <c r="H223" s="116">
        <v>0.47986111111111113</v>
      </c>
      <c r="I223" s="116">
        <v>0.49513888888888885</v>
      </c>
      <c r="J223" s="116">
        <v>0.5395833333333333</v>
      </c>
      <c r="K223" s="116">
        <v>0.56319444444444444</v>
      </c>
      <c r="L223" s="116">
        <v>0.55902777777777779</v>
      </c>
      <c r="M223" s="116">
        <v>0.48749999999999999</v>
      </c>
      <c r="N223" s="116">
        <v>0.65694444444444444</v>
      </c>
      <c r="O223" s="305">
        <v>6.3009259259259265E-2</v>
      </c>
    </row>
    <row r="224" spans="2:16">
      <c r="B224" s="117">
        <v>14</v>
      </c>
      <c r="C224" s="117">
        <v>329</v>
      </c>
      <c r="D224" s="118" t="s">
        <v>429</v>
      </c>
      <c r="E224" s="119" t="s">
        <v>364</v>
      </c>
      <c r="F224" s="119"/>
      <c r="G224" s="117" t="s">
        <v>353</v>
      </c>
      <c r="H224" s="116">
        <v>0.54305555555555551</v>
      </c>
      <c r="I224" s="116">
        <v>0.57708333333333328</v>
      </c>
      <c r="J224" s="116">
        <v>0.52361111111111114</v>
      </c>
      <c r="K224" s="116">
        <v>0.59722222222222221</v>
      </c>
      <c r="L224" s="116">
        <v>0.50555555555555554</v>
      </c>
      <c r="M224" s="116">
        <v>0.52222222222222225</v>
      </c>
      <c r="N224" s="116">
        <v>0.51944444444444449</v>
      </c>
      <c r="O224" s="305">
        <v>6.3090277777777773E-2</v>
      </c>
    </row>
    <row r="225" spans="2:16">
      <c r="B225" s="117">
        <v>15</v>
      </c>
      <c r="C225" s="117">
        <v>316</v>
      </c>
      <c r="D225" s="118" t="s">
        <v>428</v>
      </c>
      <c r="E225" s="119" t="s">
        <v>365</v>
      </c>
      <c r="F225" s="119"/>
      <c r="G225" s="117" t="s">
        <v>353</v>
      </c>
      <c r="H225" s="116">
        <v>0.45</v>
      </c>
      <c r="I225" s="116">
        <v>0.52222222222222225</v>
      </c>
      <c r="J225" s="116">
        <v>0.51736111111111105</v>
      </c>
      <c r="K225" s="116">
        <v>0.59305555555555556</v>
      </c>
      <c r="L225" s="116">
        <v>0.6020833333333333</v>
      </c>
      <c r="M225" s="116">
        <v>0.59375</v>
      </c>
      <c r="N225" s="116">
        <v>0.57986111111111105</v>
      </c>
      <c r="O225" s="305">
        <v>6.4282407407407413E-2</v>
      </c>
    </row>
    <row r="226" spans="2:16">
      <c r="B226" s="117">
        <v>16</v>
      </c>
      <c r="C226" s="117">
        <v>352</v>
      </c>
      <c r="D226" s="118" t="s">
        <v>397</v>
      </c>
      <c r="E226" s="118" t="s">
        <v>366</v>
      </c>
      <c r="F226" s="118"/>
      <c r="G226" s="117" t="s">
        <v>353</v>
      </c>
      <c r="H226" s="116">
        <v>0.52500000000000002</v>
      </c>
      <c r="I226" s="116">
        <v>0.53194444444444444</v>
      </c>
      <c r="J226" s="116">
        <v>0.55902777777777779</v>
      </c>
      <c r="K226" s="116">
        <v>0.51111111111111118</v>
      </c>
      <c r="L226" s="116">
        <v>0.60416666666666663</v>
      </c>
      <c r="M226" s="116">
        <v>0.51944444444444449</v>
      </c>
      <c r="N226" s="116">
        <v>0.61597222222222225</v>
      </c>
      <c r="O226" s="305">
        <v>6.4421296296296296E-2</v>
      </c>
    </row>
    <row r="227" spans="2:16">
      <c r="B227" s="117">
        <v>17</v>
      </c>
      <c r="C227" s="117">
        <v>342</v>
      </c>
      <c r="D227" s="118" t="s">
        <v>438</v>
      </c>
      <c r="E227" s="118"/>
      <c r="F227" s="118"/>
      <c r="G227" s="117" t="s">
        <v>353</v>
      </c>
      <c r="H227" s="116">
        <v>0.43055555555555558</v>
      </c>
      <c r="I227" s="116">
        <v>0.43958333333333338</v>
      </c>
      <c r="J227" s="116">
        <v>0.66388888888888886</v>
      </c>
      <c r="K227" s="116">
        <v>0.65972222222222221</v>
      </c>
      <c r="L227" s="116">
        <v>0.5493055555555556</v>
      </c>
      <c r="M227" s="116">
        <v>0.62152777777777779</v>
      </c>
      <c r="N227" s="116">
        <v>0.54791666666666672</v>
      </c>
      <c r="O227" s="305">
        <v>6.5185185185185179E-2</v>
      </c>
    </row>
    <row r="228" spans="2:16">
      <c r="B228" s="136">
        <v>18</v>
      </c>
      <c r="C228" s="136">
        <v>308</v>
      </c>
      <c r="D228" s="137" t="s">
        <v>480</v>
      </c>
      <c r="E228" s="137" t="s">
        <v>127</v>
      </c>
      <c r="F228" s="137"/>
      <c r="G228" s="136" t="s">
        <v>353</v>
      </c>
      <c r="H228" s="138">
        <v>0.49305555555555558</v>
      </c>
      <c r="I228" s="138">
        <v>0.55902777777777779</v>
      </c>
      <c r="J228" s="138">
        <v>0.60069444444444442</v>
      </c>
      <c r="K228" s="138">
        <v>0.58402777777777781</v>
      </c>
      <c r="L228" s="138">
        <v>0.52986111111111112</v>
      </c>
      <c r="M228" s="138">
        <v>0.54722222222222217</v>
      </c>
      <c r="N228" s="138">
        <v>0.61597222222222225</v>
      </c>
      <c r="O228" s="305">
        <v>6.5462962962962959E-2</v>
      </c>
      <c r="P228" s="10"/>
    </row>
    <row r="229" spans="2:16">
      <c r="B229" s="117">
        <v>19</v>
      </c>
      <c r="C229" s="117">
        <v>346</v>
      </c>
      <c r="D229" s="118" t="s">
        <v>427</v>
      </c>
      <c r="E229" s="118"/>
      <c r="F229" s="118"/>
      <c r="G229" s="117" t="s">
        <v>353</v>
      </c>
      <c r="H229" s="116">
        <v>0.54513888888888895</v>
      </c>
      <c r="I229" s="116">
        <v>0.56527777777777777</v>
      </c>
      <c r="J229" s="116">
        <v>0.54583333333333328</v>
      </c>
      <c r="K229" s="116">
        <v>0.58263888888888882</v>
      </c>
      <c r="L229" s="116">
        <v>0.58124999999999993</v>
      </c>
      <c r="M229" s="116">
        <v>0.58819444444444446</v>
      </c>
      <c r="N229" s="116">
        <v>0.55902777777777779</v>
      </c>
      <c r="O229" s="305">
        <v>6.609953703703704E-2</v>
      </c>
    </row>
    <row r="230" spans="2:16">
      <c r="B230" s="117">
        <v>20</v>
      </c>
      <c r="C230" s="117">
        <v>327</v>
      </c>
      <c r="D230" s="118" t="s">
        <v>426</v>
      </c>
      <c r="E230" s="118" t="s">
        <v>367</v>
      </c>
      <c r="F230" s="118"/>
      <c r="G230" s="117" t="s">
        <v>353</v>
      </c>
      <c r="H230" s="116">
        <v>0.48680555555555555</v>
      </c>
      <c r="I230" s="116">
        <v>0.58333333333333337</v>
      </c>
      <c r="J230" s="116">
        <v>0.60902777777777783</v>
      </c>
      <c r="K230" s="116">
        <v>0.54583333333333328</v>
      </c>
      <c r="L230" s="116">
        <v>0.66736111111111107</v>
      </c>
      <c r="M230" s="116">
        <v>0.59722222222222221</v>
      </c>
      <c r="N230" s="116">
        <v>0.52361111111111114</v>
      </c>
      <c r="O230" s="305">
        <v>6.6840277777777776E-2</v>
      </c>
    </row>
    <row r="231" spans="2:16">
      <c r="B231" s="117">
        <v>21</v>
      </c>
      <c r="C231" s="117">
        <v>335</v>
      </c>
      <c r="D231" s="118" t="s">
        <v>398</v>
      </c>
      <c r="E231" s="118" t="s">
        <v>368</v>
      </c>
      <c r="F231" s="118"/>
      <c r="G231" s="117" t="s">
        <v>353</v>
      </c>
      <c r="H231" s="116">
        <v>0.55763888888888891</v>
      </c>
      <c r="I231" s="116">
        <v>0.56805555555555554</v>
      </c>
      <c r="J231" s="116">
        <v>0.53888888888888886</v>
      </c>
      <c r="K231" s="116">
        <v>0.57152777777777775</v>
      </c>
      <c r="L231" s="116">
        <v>0.6020833333333333</v>
      </c>
      <c r="M231" s="116">
        <v>0.62777777777777777</v>
      </c>
      <c r="N231" s="116">
        <v>0.61458333333333337</v>
      </c>
      <c r="O231" s="305">
        <v>6.7962962962962961E-2</v>
      </c>
    </row>
    <row r="232" spans="2:16">
      <c r="B232" s="117">
        <v>22</v>
      </c>
      <c r="C232" s="117">
        <v>331</v>
      </c>
      <c r="D232" s="118" t="s">
        <v>425</v>
      </c>
      <c r="E232" s="118" t="s">
        <v>369</v>
      </c>
      <c r="F232" s="118"/>
      <c r="G232" s="117" t="s">
        <v>353</v>
      </c>
      <c r="H232" s="116">
        <v>0.57777777777777783</v>
      </c>
      <c r="I232" s="116">
        <v>0.53680555555555554</v>
      </c>
      <c r="J232" s="116">
        <v>0.62083333333333335</v>
      </c>
      <c r="K232" s="116">
        <v>0.60277777777777775</v>
      </c>
      <c r="L232" s="116">
        <v>0.56458333333333333</v>
      </c>
      <c r="M232" s="116">
        <v>0.61597222222222225</v>
      </c>
      <c r="N232" s="116">
        <v>0.57291666666666663</v>
      </c>
      <c r="O232" s="305">
        <v>6.8159722222222219E-2</v>
      </c>
    </row>
    <row r="233" spans="2:16">
      <c r="B233" s="117">
        <v>23</v>
      </c>
      <c r="C233" s="117">
        <v>345</v>
      </c>
      <c r="D233" s="118" t="s">
        <v>399</v>
      </c>
      <c r="E233" s="118" t="s">
        <v>370</v>
      </c>
      <c r="F233" s="118"/>
      <c r="G233" s="117" t="s">
        <v>353</v>
      </c>
      <c r="H233" s="116">
        <v>0.59930555555555554</v>
      </c>
      <c r="I233" s="116">
        <v>0.5625</v>
      </c>
      <c r="J233" s="116">
        <v>0.54375000000000007</v>
      </c>
      <c r="K233" s="116">
        <v>0.71250000000000002</v>
      </c>
      <c r="L233" s="116">
        <v>0.58402777777777781</v>
      </c>
      <c r="M233" s="116">
        <v>0.56458333333333333</v>
      </c>
      <c r="N233" s="116">
        <v>0.59027777777777779</v>
      </c>
      <c r="O233" s="305">
        <v>6.9236111111111109E-2</v>
      </c>
    </row>
    <row r="234" spans="2:16">
      <c r="B234" s="117">
        <v>24</v>
      </c>
      <c r="C234" s="117">
        <v>314</v>
      </c>
      <c r="D234" s="118" t="s">
        <v>400</v>
      </c>
      <c r="E234" s="118" t="s">
        <v>229</v>
      </c>
      <c r="F234" s="118"/>
      <c r="G234" s="117" t="s">
        <v>353</v>
      </c>
      <c r="H234" s="116">
        <v>0.65208333333333335</v>
      </c>
      <c r="I234" s="116">
        <v>0.52013888888888882</v>
      </c>
      <c r="J234" s="116">
        <v>0.72222222222222221</v>
      </c>
      <c r="K234" s="116">
        <v>0.55625000000000002</v>
      </c>
      <c r="L234" s="116">
        <v>0.55625000000000002</v>
      </c>
      <c r="M234" s="116">
        <v>0.63958333333333328</v>
      </c>
      <c r="N234" s="116">
        <v>0.5625</v>
      </c>
      <c r="O234" s="305">
        <v>7.0115740740740742E-2</v>
      </c>
    </row>
    <row r="235" spans="2:16">
      <c r="B235" s="117">
        <v>25</v>
      </c>
      <c r="C235" s="117">
        <v>312</v>
      </c>
      <c r="D235" s="118" t="s">
        <v>405</v>
      </c>
      <c r="E235" s="118" t="s">
        <v>371</v>
      </c>
      <c r="F235" s="118"/>
      <c r="G235" s="117" t="s">
        <v>353</v>
      </c>
      <c r="H235" s="116">
        <v>0.65694444444444444</v>
      </c>
      <c r="I235" s="116">
        <v>0.69513888888888886</v>
      </c>
      <c r="J235" s="116">
        <v>0.72083333333333333</v>
      </c>
      <c r="K235" s="116">
        <v>0.70416666666666661</v>
      </c>
      <c r="L235" s="116">
        <v>0.60833333333333328</v>
      </c>
      <c r="M235" s="116">
        <v>0.64236111111111105</v>
      </c>
      <c r="N235" s="116">
        <v>0.18263888888888891</v>
      </c>
      <c r="O235" s="305">
        <v>7.0162037037037037E-2</v>
      </c>
    </row>
    <row r="236" spans="2:16">
      <c r="B236" s="117">
        <v>26</v>
      </c>
      <c r="C236" s="117">
        <v>341</v>
      </c>
      <c r="D236" s="118" t="s">
        <v>424</v>
      </c>
      <c r="E236" s="118" t="s">
        <v>372</v>
      </c>
      <c r="F236" s="118"/>
      <c r="G236" s="117" t="s">
        <v>353</v>
      </c>
      <c r="H236" s="116">
        <v>0.55486111111111114</v>
      </c>
      <c r="I236" s="116">
        <v>0.58611111111111114</v>
      </c>
      <c r="J236" s="116">
        <v>0.57638888888888895</v>
      </c>
      <c r="K236" s="116">
        <v>0.65694444444444444</v>
      </c>
      <c r="L236" s="116">
        <v>0.66597222222222219</v>
      </c>
      <c r="M236" s="116">
        <v>0.65694444444444444</v>
      </c>
      <c r="N236" s="116">
        <v>0.56944444444444442</v>
      </c>
      <c r="O236" s="305">
        <v>7.1087962962962964E-2</v>
      </c>
    </row>
    <row r="237" spans="2:16">
      <c r="B237" s="117">
        <v>27</v>
      </c>
      <c r="C237" s="117">
        <v>328</v>
      </c>
      <c r="D237" s="118" t="s">
        <v>423</v>
      </c>
      <c r="E237" s="118" t="s">
        <v>373</v>
      </c>
      <c r="F237" s="118"/>
      <c r="G237" s="117" t="s">
        <v>353</v>
      </c>
      <c r="H237" s="116">
        <v>0.66388888888888886</v>
      </c>
      <c r="I237" s="116">
        <v>0.5444444444444444</v>
      </c>
      <c r="J237" s="116">
        <v>0.6777777777777777</v>
      </c>
      <c r="K237" s="116">
        <v>0.54652777777777783</v>
      </c>
      <c r="L237" s="116">
        <v>0.58263888888888882</v>
      </c>
      <c r="M237" s="116">
        <v>0.63402777777777775</v>
      </c>
      <c r="N237" s="116">
        <v>0.62986111111111109</v>
      </c>
      <c r="O237" s="305">
        <v>7.1273148148148155E-2</v>
      </c>
    </row>
    <row r="238" spans="2:16">
      <c r="B238" s="117">
        <v>28</v>
      </c>
      <c r="C238" s="117">
        <v>317</v>
      </c>
      <c r="D238" s="118" t="s">
        <v>422</v>
      </c>
      <c r="E238" s="118" t="s">
        <v>374</v>
      </c>
      <c r="F238" s="118"/>
      <c r="G238" s="117" t="s">
        <v>353</v>
      </c>
      <c r="H238" s="116">
        <v>0.59027777777777779</v>
      </c>
      <c r="I238" s="116">
        <v>0.62708333333333333</v>
      </c>
      <c r="J238" s="116">
        <v>0.58680555555555558</v>
      </c>
      <c r="K238" s="116">
        <v>0.54652777777777783</v>
      </c>
      <c r="L238" s="116">
        <v>0.77916666666666667</v>
      </c>
      <c r="M238" s="116">
        <v>0.62152777777777779</v>
      </c>
      <c r="N238" s="116">
        <v>0.53055555555555556</v>
      </c>
      <c r="O238" s="305">
        <v>7.1319444444444449E-2</v>
      </c>
    </row>
    <row r="239" spans="2:16">
      <c r="B239" s="117">
        <v>29</v>
      </c>
      <c r="C239" s="117">
        <v>338</v>
      </c>
      <c r="D239" s="118" t="s">
        <v>421</v>
      </c>
      <c r="E239" s="118" t="s">
        <v>357</v>
      </c>
      <c r="F239" s="118"/>
      <c r="G239" s="117" t="s">
        <v>353</v>
      </c>
      <c r="H239" s="116">
        <v>0.45416666666666666</v>
      </c>
      <c r="I239" s="116">
        <v>0.70347222222222217</v>
      </c>
      <c r="J239" s="116">
        <v>0.71527777777777779</v>
      </c>
      <c r="K239" s="116">
        <v>0.47916666666666669</v>
      </c>
      <c r="L239" s="116">
        <v>0.74097222222222225</v>
      </c>
      <c r="M239" s="116">
        <v>0.72569444444444453</v>
      </c>
      <c r="N239" s="116">
        <v>0.47916666666666669</v>
      </c>
      <c r="O239" s="305">
        <v>7.1608796296296295E-2</v>
      </c>
    </row>
    <row r="240" spans="2:16">
      <c r="B240" s="117">
        <v>30</v>
      </c>
      <c r="C240" s="117">
        <v>321</v>
      </c>
      <c r="D240" s="118" t="s">
        <v>420</v>
      </c>
      <c r="E240" s="118" t="s">
        <v>375</v>
      </c>
      <c r="F240" s="118"/>
      <c r="G240" s="117" t="s">
        <v>353</v>
      </c>
      <c r="H240" s="116">
        <v>0.61875000000000002</v>
      </c>
      <c r="I240" s="116">
        <v>0.66736111111111107</v>
      </c>
      <c r="J240" s="116">
        <v>0.62986111111111109</v>
      </c>
      <c r="K240" s="116">
        <v>0.63472222222222219</v>
      </c>
      <c r="L240" s="116">
        <v>0.61458333333333337</v>
      </c>
      <c r="M240" s="116">
        <v>0.54999999999999993</v>
      </c>
      <c r="N240" s="116">
        <v>0.59375</v>
      </c>
      <c r="O240" s="305">
        <v>7.1793981481481486E-2</v>
      </c>
    </row>
    <row r="241" spans="2:15">
      <c r="B241" s="117">
        <v>31</v>
      </c>
      <c r="C241" s="117">
        <v>337</v>
      </c>
      <c r="D241" s="118" t="s">
        <v>419</v>
      </c>
      <c r="E241" s="118" t="s">
        <v>376</v>
      </c>
      <c r="F241" s="118"/>
      <c r="G241" s="117" t="s">
        <v>353</v>
      </c>
      <c r="H241" s="116">
        <v>0.54583333333333328</v>
      </c>
      <c r="I241" s="116">
        <v>0.65</v>
      </c>
      <c r="J241" s="116">
        <v>0.61736111111111114</v>
      </c>
      <c r="K241" s="116">
        <v>0.72013888888888899</v>
      </c>
      <c r="L241" s="116">
        <v>0.58680555555555558</v>
      </c>
      <c r="M241" s="116">
        <v>0.61249999999999993</v>
      </c>
      <c r="N241" s="116">
        <v>0.60972222222222217</v>
      </c>
      <c r="O241" s="305">
        <v>7.2326388888888885E-2</v>
      </c>
    </row>
    <row r="242" spans="2:15">
      <c r="B242" s="117">
        <v>32</v>
      </c>
      <c r="C242" s="117">
        <v>324</v>
      </c>
      <c r="D242" s="118" t="s">
        <v>401</v>
      </c>
      <c r="E242" s="118" t="s">
        <v>377</v>
      </c>
      <c r="F242" s="118"/>
      <c r="G242" s="117" t="s">
        <v>353</v>
      </c>
      <c r="H242" s="116">
        <v>0.73958333333333337</v>
      </c>
      <c r="I242" s="116">
        <v>0.56458333333333333</v>
      </c>
      <c r="J242" s="116">
        <v>0.61527777777777781</v>
      </c>
      <c r="K242" s="116">
        <v>0.62847222222222221</v>
      </c>
      <c r="L242" s="116">
        <v>0.66180555555555554</v>
      </c>
      <c r="M242" s="116">
        <v>0.56458333333333333</v>
      </c>
      <c r="N242" s="116">
        <v>0.5805555555555556</v>
      </c>
      <c r="O242" s="305">
        <v>7.255787037037037E-2</v>
      </c>
    </row>
    <row r="243" spans="2:15">
      <c r="B243" s="117">
        <v>33</v>
      </c>
      <c r="C243" s="117">
        <v>333</v>
      </c>
      <c r="D243" s="118" t="s">
        <v>442</v>
      </c>
      <c r="E243" s="118"/>
      <c r="F243" s="118"/>
      <c r="G243" s="117" t="s">
        <v>353</v>
      </c>
      <c r="H243" s="116">
        <v>0.55763888888888891</v>
      </c>
      <c r="I243" s="116">
        <v>0.62847222222222221</v>
      </c>
      <c r="J243" s="116">
        <v>0.64513888888888882</v>
      </c>
      <c r="K243" s="116">
        <v>0.63263888888888886</v>
      </c>
      <c r="L243" s="116">
        <v>0.66875000000000007</v>
      </c>
      <c r="M243" s="116">
        <v>0.6166666666666667</v>
      </c>
      <c r="N243" s="116">
        <v>0.62152777777777779</v>
      </c>
      <c r="O243" s="305">
        <v>7.2812500000000002E-2</v>
      </c>
    </row>
    <row r="244" spans="2:15">
      <c r="B244" s="117">
        <v>34</v>
      </c>
      <c r="C244" s="117">
        <v>313</v>
      </c>
      <c r="D244" s="118" t="s">
        <v>402</v>
      </c>
      <c r="E244" s="118" t="s">
        <v>378</v>
      </c>
      <c r="F244" s="118"/>
      <c r="G244" s="117" t="s">
        <v>353</v>
      </c>
      <c r="H244" s="116">
        <v>0.65972222222222221</v>
      </c>
      <c r="I244" s="116">
        <v>0.61875000000000002</v>
      </c>
      <c r="J244" s="116">
        <v>0.6743055555555556</v>
      </c>
      <c r="K244" s="116">
        <v>0.58402777777777781</v>
      </c>
      <c r="L244" s="116">
        <v>0.60763888888888895</v>
      </c>
      <c r="M244" s="116">
        <v>0.62569444444444444</v>
      </c>
      <c r="N244" s="116">
        <v>0.61041666666666672</v>
      </c>
      <c r="O244" s="305">
        <v>7.2986111111111113E-2</v>
      </c>
    </row>
    <row r="245" spans="2:15">
      <c r="B245" s="117">
        <v>35</v>
      </c>
      <c r="C245" s="117">
        <v>325</v>
      </c>
      <c r="D245" s="118" t="s">
        <v>403</v>
      </c>
      <c r="E245" s="118" t="s">
        <v>379</v>
      </c>
      <c r="F245" s="118"/>
      <c r="G245" s="117" t="s">
        <v>353</v>
      </c>
      <c r="H245" s="116">
        <v>0.54652777777777783</v>
      </c>
      <c r="I245" s="116">
        <v>0.7319444444444444</v>
      </c>
      <c r="J245" s="116">
        <v>0.625</v>
      </c>
      <c r="K245" s="116">
        <v>0.71944444444444444</v>
      </c>
      <c r="L245" s="116">
        <v>0.55069444444444449</v>
      </c>
      <c r="M245" s="116">
        <v>0.65972222222222221</v>
      </c>
      <c r="N245" s="116">
        <v>0.58472222222222225</v>
      </c>
      <c r="O245" s="305">
        <v>7.3599537037037033E-2</v>
      </c>
    </row>
    <row r="246" spans="2:15">
      <c r="B246" s="117">
        <v>36</v>
      </c>
      <c r="C246" s="117">
        <v>330</v>
      </c>
      <c r="D246" s="118" t="s">
        <v>404</v>
      </c>
      <c r="E246" s="118" t="s">
        <v>380</v>
      </c>
      <c r="F246" s="118"/>
      <c r="G246" s="117" t="s">
        <v>353</v>
      </c>
      <c r="H246" s="116">
        <v>0.49513888888888885</v>
      </c>
      <c r="I246" s="116">
        <v>0.63194444444444442</v>
      </c>
      <c r="J246" s="116">
        <v>0.78402777777777777</v>
      </c>
      <c r="K246" s="116">
        <v>0.65694444444444444</v>
      </c>
      <c r="L246" s="116">
        <v>0.65625</v>
      </c>
      <c r="M246" s="116">
        <v>0.67986111111111114</v>
      </c>
      <c r="N246" s="116">
        <v>0.5180555555555556</v>
      </c>
      <c r="O246" s="305">
        <v>7.3668981481481488E-2</v>
      </c>
    </row>
    <row r="247" spans="2:15">
      <c r="B247" s="117">
        <v>37</v>
      </c>
      <c r="C247" s="117">
        <v>350</v>
      </c>
      <c r="D247" s="118" t="s">
        <v>443</v>
      </c>
      <c r="E247" s="118"/>
      <c r="F247" s="118"/>
      <c r="G247" s="117" t="s">
        <v>353</v>
      </c>
      <c r="H247" s="116">
        <v>0.59722222222222221</v>
      </c>
      <c r="I247" s="116">
        <v>0.64166666666666672</v>
      </c>
      <c r="J247" s="116">
        <v>0.70138888888888884</v>
      </c>
      <c r="K247" s="116">
        <v>0.77361111111111114</v>
      </c>
      <c r="L247" s="116">
        <v>0.53680555555555554</v>
      </c>
      <c r="M247" s="116">
        <v>0.58333333333333337</v>
      </c>
      <c r="N247" s="116">
        <v>0.61041666666666672</v>
      </c>
      <c r="O247" s="305">
        <v>7.4039351851851856E-2</v>
      </c>
    </row>
    <row r="248" spans="2:15">
      <c r="B248" s="117">
        <v>38</v>
      </c>
      <c r="C248" s="117">
        <v>351</v>
      </c>
      <c r="D248" s="118" t="s">
        <v>418</v>
      </c>
      <c r="E248" s="118" t="s">
        <v>155</v>
      </c>
      <c r="F248" s="118"/>
      <c r="G248" s="117" t="s">
        <v>353</v>
      </c>
      <c r="H248" s="116">
        <v>0.7402777777777777</v>
      </c>
      <c r="I248" s="116">
        <v>0.52708333333333335</v>
      </c>
      <c r="J248" s="116">
        <v>0.54027777777777775</v>
      </c>
      <c r="K248" s="116">
        <v>0.78680555555555554</v>
      </c>
      <c r="L248" s="116">
        <v>0.65</v>
      </c>
      <c r="M248" s="116">
        <v>0.6</v>
      </c>
      <c r="N248" s="116">
        <v>0.65069444444444446</v>
      </c>
      <c r="O248" s="305">
        <v>7.4895833333333328E-2</v>
      </c>
    </row>
    <row r="249" spans="2:15">
      <c r="B249" s="117">
        <v>39</v>
      </c>
      <c r="C249" s="117">
        <v>347</v>
      </c>
      <c r="D249" s="118" t="s">
        <v>439</v>
      </c>
      <c r="E249" s="118"/>
      <c r="F249" s="118"/>
      <c r="G249" s="117" t="s">
        <v>353</v>
      </c>
      <c r="H249" s="116">
        <v>0.62013888888888891</v>
      </c>
      <c r="I249" s="116">
        <v>0.65347222222222223</v>
      </c>
      <c r="J249" s="116">
        <v>0.79513888888888884</v>
      </c>
      <c r="K249" s="116">
        <v>0.78263888888888899</v>
      </c>
      <c r="L249" s="116">
        <v>0.52430555555555558</v>
      </c>
      <c r="M249" s="116">
        <v>0.54166666666666663</v>
      </c>
      <c r="N249" s="116">
        <v>0.58194444444444449</v>
      </c>
      <c r="O249" s="305">
        <v>7.4942129629629636E-2</v>
      </c>
    </row>
    <row r="250" spans="2:15">
      <c r="B250" s="117">
        <v>40</v>
      </c>
      <c r="C250" s="117">
        <v>315</v>
      </c>
      <c r="D250" s="118" t="s">
        <v>417</v>
      </c>
      <c r="E250" s="118" t="s">
        <v>381</v>
      </c>
      <c r="F250" s="118"/>
      <c r="G250" s="117" t="s">
        <v>353</v>
      </c>
      <c r="H250" s="116">
        <v>0.48541666666666666</v>
      </c>
      <c r="I250" s="116">
        <v>0.66875000000000007</v>
      </c>
      <c r="J250" s="116">
        <v>0.59444444444444444</v>
      </c>
      <c r="K250" s="116">
        <v>0.92499999999999993</v>
      </c>
      <c r="L250" s="116">
        <v>0.65625</v>
      </c>
      <c r="M250" s="116">
        <v>0.62222222222222223</v>
      </c>
      <c r="N250" s="116">
        <v>0.59444444444444444</v>
      </c>
      <c r="O250" s="305">
        <v>7.5740740740740733E-2</v>
      </c>
    </row>
    <row r="251" spans="2:15">
      <c r="B251" s="117">
        <v>41</v>
      </c>
      <c r="C251" s="117">
        <v>344</v>
      </c>
      <c r="D251" s="118" t="s">
        <v>441</v>
      </c>
      <c r="E251" s="118"/>
      <c r="F251" s="118"/>
      <c r="G251" s="117" t="s">
        <v>353</v>
      </c>
      <c r="H251" s="116">
        <v>0.50555555555555554</v>
      </c>
      <c r="I251" s="116">
        <v>0.66180555555555554</v>
      </c>
      <c r="J251" s="116">
        <v>0.69305555555555554</v>
      </c>
      <c r="K251" s="116">
        <v>0.54861111111111105</v>
      </c>
      <c r="L251" s="116">
        <v>0.73125000000000007</v>
      </c>
      <c r="M251" s="116">
        <v>0.76527777777777783</v>
      </c>
      <c r="N251" s="116">
        <v>0.66875000000000007</v>
      </c>
      <c r="O251" s="305">
        <v>7.6203703703703704E-2</v>
      </c>
    </row>
    <row r="252" spans="2:15">
      <c r="B252" s="117">
        <v>42</v>
      </c>
      <c r="C252" s="117">
        <v>323</v>
      </c>
      <c r="D252" s="118" t="s">
        <v>406</v>
      </c>
      <c r="E252" s="118" t="s">
        <v>382</v>
      </c>
      <c r="F252" s="118"/>
      <c r="G252" s="117" t="s">
        <v>353</v>
      </c>
      <c r="H252" s="116">
        <v>0.73958333333333337</v>
      </c>
      <c r="I252" s="116">
        <v>0.66527777777777775</v>
      </c>
      <c r="J252" s="116">
        <v>0.59652777777777777</v>
      </c>
      <c r="K252" s="116">
        <v>0.6972222222222223</v>
      </c>
      <c r="L252" s="116">
        <v>0.69652777777777775</v>
      </c>
      <c r="M252" s="116">
        <v>0.57708333333333328</v>
      </c>
      <c r="N252" s="116">
        <v>0.61388888888888882</v>
      </c>
      <c r="O252" s="305">
        <v>7.6412037037037042E-2</v>
      </c>
    </row>
    <row r="253" spans="2:15">
      <c r="B253" s="117">
        <v>43</v>
      </c>
      <c r="C253" s="117">
        <v>340</v>
      </c>
      <c r="D253" s="118" t="s">
        <v>407</v>
      </c>
      <c r="E253" s="118" t="s">
        <v>383</v>
      </c>
      <c r="F253" s="118"/>
      <c r="G253" s="117" t="s">
        <v>353</v>
      </c>
      <c r="H253" s="116">
        <v>0.65416666666666667</v>
      </c>
      <c r="I253" s="116">
        <v>0.73472222222222217</v>
      </c>
      <c r="J253" s="116">
        <v>0.58819444444444446</v>
      </c>
      <c r="K253" s="116">
        <v>0.79513888888888884</v>
      </c>
      <c r="L253" s="116">
        <v>0.72152777777777777</v>
      </c>
      <c r="M253" s="116">
        <v>0.5854166666666667</v>
      </c>
      <c r="N253" s="116">
        <v>0.53055555555555556</v>
      </c>
      <c r="O253" s="305">
        <v>7.6793981481481477E-2</v>
      </c>
    </row>
    <row r="254" spans="2:15">
      <c r="B254" s="117">
        <v>44</v>
      </c>
      <c r="C254" s="117">
        <v>326</v>
      </c>
      <c r="D254" s="118" t="s">
        <v>408</v>
      </c>
      <c r="E254" s="118" t="s">
        <v>384</v>
      </c>
      <c r="F254" s="118"/>
      <c r="G254" s="117" t="s">
        <v>353</v>
      </c>
      <c r="H254" s="116">
        <v>0.50902777777777775</v>
      </c>
      <c r="I254" s="116">
        <v>0.60625000000000007</v>
      </c>
      <c r="J254" s="116">
        <v>0.5854166666666667</v>
      </c>
      <c r="K254" s="116">
        <v>0.5541666666666667</v>
      </c>
      <c r="L254" s="116">
        <v>0.55138888888888882</v>
      </c>
      <c r="M254" s="116">
        <v>0.97569444444444453</v>
      </c>
      <c r="N254" s="116">
        <v>0.84097222222222223</v>
      </c>
      <c r="O254" s="305">
        <v>7.7002314814814815E-2</v>
      </c>
    </row>
    <row r="255" spans="2:15">
      <c r="B255" s="117">
        <v>45</v>
      </c>
      <c r="C255" s="117">
        <v>322</v>
      </c>
      <c r="D255" s="118" t="s">
        <v>409</v>
      </c>
      <c r="E255" s="118" t="s">
        <v>385</v>
      </c>
      <c r="F255" s="118"/>
      <c r="G255" s="117" t="s">
        <v>353</v>
      </c>
      <c r="H255" s="116">
        <v>0.66319444444444442</v>
      </c>
      <c r="I255" s="116">
        <v>0.6020833333333333</v>
      </c>
      <c r="J255" s="116">
        <v>0.79513888888888884</v>
      </c>
      <c r="K255" s="116">
        <v>0.60833333333333328</v>
      </c>
      <c r="L255" s="116">
        <v>0.65347222222222223</v>
      </c>
      <c r="M255" s="116">
        <v>0.68958333333333333</v>
      </c>
      <c r="N255" s="116">
        <v>0.61875000000000002</v>
      </c>
      <c r="O255" s="305">
        <v>7.7141203703703712E-2</v>
      </c>
    </row>
    <row r="256" spans="2:15">
      <c r="B256" s="117">
        <v>46</v>
      </c>
      <c r="C256" s="117">
        <v>310</v>
      </c>
      <c r="D256" s="118" t="s">
        <v>410</v>
      </c>
      <c r="E256" s="118" t="s">
        <v>386</v>
      </c>
      <c r="F256" s="118"/>
      <c r="G256" s="117" t="s">
        <v>353</v>
      </c>
      <c r="H256" s="116">
        <v>0.66041666666666665</v>
      </c>
      <c r="I256" s="116">
        <v>0.65902777777777777</v>
      </c>
      <c r="J256" s="116">
        <v>0.66111111111111109</v>
      </c>
      <c r="K256" s="116">
        <v>0.71597222222222223</v>
      </c>
      <c r="L256" s="116">
        <v>0.71388888888888891</v>
      </c>
      <c r="M256" s="116">
        <v>0.60416666666666663</v>
      </c>
      <c r="N256" s="116">
        <v>0.61944444444444446</v>
      </c>
      <c r="O256" s="305">
        <v>7.7210648148148139E-2</v>
      </c>
    </row>
    <row r="257" spans="2:21">
      <c r="B257" s="117">
        <v>47</v>
      </c>
      <c r="C257" s="117">
        <v>336</v>
      </c>
      <c r="D257" s="118" t="s">
        <v>411</v>
      </c>
      <c r="E257" s="118" t="s">
        <v>387</v>
      </c>
      <c r="F257" s="118"/>
      <c r="G257" s="117" t="s">
        <v>353</v>
      </c>
      <c r="H257" s="116">
        <v>0.60277777777777775</v>
      </c>
      <c r="I257" s="116">
        <v>0.67222222222222217</v>
      </c>
      <c r="J257" s="116">
        <v>0.69444444444444453</v>
      </c>
      <c r="K257" s="116">
        <v>0.73125000000000007</v>
      </c>
      <c r="L257" s="116">
        <v>0.6430555555555556</v>
      </c>
      <c r="M257" s="116">
        <v>0.66805555555555562</v>
      </c>
      <c r="N257" s="116">
        <v>0.64652777777777781</v>
      </c>
      <c r="O257" s="305">
        <v>7.7604166666666669E-2</v>
      </c>
    </row>
    <row r="258" spans="2:21">
      <c r="B258" s="117">
        <v>48</v>
      </c>
      <c r="C258" s="117">
        <v>349</v>
      </c>
      <c r="D258" s="118" t="s">
        <v>412</v>
      </c>
      <c r="E258" s="118" t="s">
        <v>388</v>
      </c>
      <c r="F258" s="118"/>
      <c r="G258" s="117" t="s">
        <v>353</v>
      </c>
      <c r="H258" s="116">
        <v>0.64374999999999993</v>
      </c>
      <c r="I258" s="116">
        <v>0.64374999999999993</v>
      </c>
      <c r="J258" s="116">
        <v>0.64513888888888882</v>
      </c>
      <c r="K258" s="116">
        <v>0.68194444444444446</v>
      </c>
      <c r="L258" s="116">
        <v>0.67569444444444438</v>
      </c>
      <c r="M258" s="116">
        <v>0.72916666666666663</v>
      </c>
      <c r="N258" s="116">
        <v>0.71805555555555556</v>
      </c>
      <c r="O258" s="305">
        <v>7.8923611111111111E-2</v>
      </c>
    </row>
    <row r="259" spans="2:21">
      <c r="B259" s="117">
        <v>49</v>
      </c>
      <c r="C259" s="117">
        <v>343</v>
      </c>
      <c r="D259" s="118" t="s">
        <v>440</v>
      </c>
      <c r="E259" s="118"/>
      <c r="F259" s="118"/>
      <c r="G259" s="117" t="s">
        <v>353</v>
      </c>
      <c r="H259" s="116">
        <v>0.63194444444444442</v>
      </c>
      <c r="I259" s="116">
        <v>0.66527777777777775</v>
      </c>
      <c r="J259" s="116">
        <v>0.65416666666666667</v>
      </c>
      <c r="K259" s="116">
        <v>0.7319444444444444</v>
      </c>
      <c r="L259" s="116">
        <v>0.77986111111111101</v>
      </c>
      <c r="M259" s="116">
        <v>0.65416666666666667</v>
      </c>
      <c r="N259" s="116">
        <v>0.6645833333333333</v>
      </c>
      <c r="O259" s="305">
        <v>7.9675925925925928E-2</v>
      </c>
    </row>
    <row r="260" spans="2:21">
      <c r="B260" s="117">
        <v>50</v>
      </c>
      <c r="C260" s="117">
        <v>306</v>
      </c>
      <c r="D260" s="118" t="s">
        <v>413</v>
      </c>
      <c r="E260" s="118" t="s">
        <v>389</v>
      </c>
      <c r="F260" s="118"/>
      <c r="G260" s="117" t="s">
        <v>353</v>
      </c>
      <c r="H260" s="116">
        <v>0.62569444444444444</v>
      </c>
      <c r="I260" s="116">
        <v>0.61111111111111105</v>
      </c>
      <c r="J260" s="116">
        <v>0.76458333333333339</v>
      </c>
      <c r="K260" s="116">
        <v>0.78125</v>
      </c>
      <c r="L260" s="116">
        <v>0.76041666666666663</v>
      </c>
      <c r="M260" s="116">
        <v>0.71527777777777779</v>
      </c>
      <c r="N260" s="116">
        <v>0.55555555555555558</v>
      </c>
      <c r="O260" s="305">
        <v>8.0185185185185193E-2</v>
      </c>
    </row>
    <row r="261" spans="2:21">
      <c r="B261" s="117">
        <v>51</v>
      </c>
      <c r="C261" s="117">
        <v>348</v>
      </c>
      <c r="D261" s="118" t="s">
        <v>445</v>
      </c>
      <c r="E261" s="118"/>
      <c r="F261" s="118"/>
      <c r="G261" s="117" t="s">
        <v>353</v>
      </c>
      <c r="H261" s="116">
        <v>0.67569444444444438</v>
      </c>
      <c r="I261" s="116">
        <v>0.69444444444444453</v>
      </c>
      <c r="J261" s="116">
        <v>0.65694444444444444</v>
      </c>
      <c r="K261" s="116">
        <v>0.6430555555555556</v>
      </c>
      <c r="L261" s="116">
        <v>0.7284722222222223</v>
      </c>
      <c r="M261" s="116">
        <v>0.78611111111111109</v>
      </c>
      <c r="N261" s="116">
        <v>0.63888888888888895</v>
      </c>
      <c r="O261" s="305">
        <v>8.0347222222222223E-2</v>
      </c>
    </row>
    <row r="262" spans="2:21">
      <c r="B262" s="117">
        <v>52</v>
      </c>
      <c r="C262" s="117">
        <v>318</v>
      </c>
      <c r="D262" s="118" t="s">
        <v>414</v>
      </c>
      <c r="E262" s="118" t="s">
        <v>390</v>
      </c>
      <c r="F262" s="118"/>
      <c r="G262" s="117" t="s">
        <v>353</v>
      </c>
      <c r="H262" s="116">
        <v>0.7416666666666667</v>
      </c>
      <c r="I262" s="116">
        <v>0.67847222222222225</v>
      </c>
      <c r="J262" s="116">
        <v>0.84861111111111109</v>
      </c>
      <c r="K262" s="116">
        <v>0.70694444444444438</v>
      </c>
      <c r="L262" s="116">
        <v>0.72291666666666676</v>
      </c>
      <c r="M262" s="116">
        <v>0.61875000000000002</v>
      </c>
      <c r="N262" s="116">
        <v>0.65138888888888891</v>
      </c>
      <c r="O262" s="305">
        <v>8.2789351851851864E-2</v>
      </c>
    </row>
    <row r="263" spans="2:21">
      <c r="B263" s="117"/>
      <c r="C263" s="117">
        <v>311</v>
      </c>
      <c r="D263" s="118" t="s">
        <v>415</v>
      </c>
      <c r="E263" s="118" t="s">
        <v>391</v>
      </c>
      <c r="F263" s="118"/>
      <c r="G263" s="117" t="s">
        <v>353</v>
      </c>
      <c r="H263" s="116">
        <v>0.47847222222222219</v>
      </c>
      <c r="I263" s="116">
        <v>0.88124999999999998</v>
      </c>
      <c r="J263" s="116">
        <v>0.84930555555555554</v>
      </c>
      <c r="K263" s="116">
        <v>0.84513888888888899</v>
      </c>
      <c r="L263" s="120">
        <v>1.3375000000000001</v>
      </c>
      <c r="M263" s="116">
        <v>0.51041666666666663</v>
      </c>
      <c r="N263" s="117"/>
      <c r="O263" s="306"/>
    </row>
    <row r="264" spans="2:21">
      <c r="B264" s="117"/>
      <c r="C264" s="117">
        <v>353</v>
      </c>
      <c r="D264" s="118" t="s">
        <v>416</v>
      </c>
      <c r="E264" s="118" t="s">
        <v>392</v>
      </c>
      <c r="F264" s="118"/>
      <c r="G264" s="117" t="s">
        <v>353</v>
      </c>
      <c r="H264" s="116">
        <v>0.64444444444444449</v>
      </c>
      <c r="I264" s="116">
        <v>0.62847222222222221</v>
      </c>
      <c r="J264" s="116">
        <v>0.51666666666666672</v>
      </c>
      <c r="K264" s="116">
        <v>0.7319444444444444</v>
      </c>
      <c r="L264" s="120">
        <v>1.2527777777777778</v>
      </c>
      <c r="M264" s="116">
        <v>0.52222222222222225</v>
      </c>
      <c r="N264" s="117"/>
      <c r="O264" s="306"/>
    </row>
    <row r="265" spans="2:21">
      <c r="H265"/>
      <c r="I265"/>
      <c r="J265"/>
      <c r="K265"/>
      <c r="L265"/>
      <c r="M265"/>
      <c r="N265"/>
      <c r="O265"/>
    </row>
    <row r="267" spans="2:21" ht="23.25">
      <c r="D267" s="20" t="s">
        <v>479</v>
      </c>
      <c r="K267" s="20" t="s">
        <v>312</v>
      </c>
      <c r="Q267" s="249"/>
    </row>
    <row r="268" spans="2:21">
      <c r="Q268" s="249"/>
    </row>
    <row r="269" spans="2:21">
      <c r="B269" s="236" t="s">
        <v>0</v>
      </c>
      <c r="C269" s="236" t="s">
        <v>482</v>
      </c>
      <c r="D269" s="236" t="s">
        <v>1</v>
      </c>
      <c r="E269" s="237" t="s">
        <v>926</v>
      </c>
      <c r="F269" s="243" t="s">
        <v>911</v>
      </c>
      <c r="G269" s="237" t="s">
        <v>3</v>
      </c>
      <c r="H269" s="236" t="s">
        <v>483</v>
      </c>
      <c r="I269" s="238" t="s">
        <v>484</v>
      </c>
      <c r="J269" s="238" t="s">
        <v>5</v>
      </c>
      <c r="K269" s="238" t="s">
        <v>6</v>
      </c>
      <c r="L269" s="238" t="s">
        <v>7</v>
      </c>
      <c r="M269" s="238" t="s">
        <v>8</v>
      </c>
      <c r="N269" s="238" t="s">
        <v>9</v>
      </c>
      <c r="O269" s="238" t="s">
        <v>10</v>
      </c>
      <c r="P269" s="238" t="s">
        <v>11</v>
      </c>
      <c r="Q269" s="248" t="s">
        <v>485</v>
      </c>
      <c r="R269" s="238" t="s">
        <v>486</v>
      </c>
      <c r="S269" s="238"/>
      <c r="T269" s="238" t="s">
        <v>487</v>
      </c>
      <c r="U269" s="238" t="s">
        <v>488</v>
      </c>
    </row>
    <row r="270" spans="2:21">
      <c r="B270" s="231">
        <v>1</v>
      </c>
      <c r="C270" s="231">
        <v>1</v>
      </c>
      <c r="D270" s="231">
        <v>443</v>
      </c>
      <c r="E270" t="s">
        <v>914</v>
      </c>
      <c r="F270" t="s">
        <v>911</v>
      </c>
      <c r="G270" s="232" t="s">
        <v>360</v>
      </c>
      <c r="H270" s="231" t="s">
        <v>489</v>
      </c>
      <c r="I270" s="231">
        <v>1</v>
      </c>
      <c r="J270" s="233" t="s">
        <v>189</v>
      </c>
      <c r="K270" s="233" t="s">
        <v>490</v>
      </c>
      <c r="L270" s="233" t="s">
        <v>491</v>
      </c>
      <c r="M270" s="233" t="s">
        <v>492</v>
      </c>
      <c r="N270" s="233" t="s">
        <v>348</v>
      </c>
      <c r="O270" s="233" t="s">
        <v>493</v>
      </c>
      <c r="P270" s="233" t="s">
        <v>59</v>
      </c>
      <c r="Q270" s="248" t="s">
        <v>494</v>
      </c>
      <c r="R270" s="231"/>
      <c r="S270" s="231"/>
      <c r="T270" s="233" t="s">
        <v>495</v>
      </c>
      <c r="U270" s="233" t="s">
        <v>496</v>
      </c>
    </row>
    <row r="271" spans="2:21">
      <c r="B271" s="231">
        <v>2</v>
      </c>
      <c r="C271" s="231">
        <v>2</v>
      </c>
      <c r="D271" s="231">
        <v>460</v>
      </c>
      <c r="E271" t="s">
        <v>915</v>
      </c>
      <c r="F271" t="s">
        <v>911</v>
      </c>
      <c r="G271" s="232" t="s">
        <v>497</v>
      </c>
      <c r="H271" s="231" t="s">
        <v>489</v>
      </c>
      <c r="I271" s="231">
        <v>2</v>
      </c>
      <c r="J271" s="233" t="s">
        <v>72</v>
      </c>
      <c r="K271" s="233" t="s">
        <v>20</v>
      </c>
      <c r="L271" s="233" t="s">
        <v>41</v>
      </c>
      <c r="M271" s="233" t="s">
        <v>347</v>
      </c>
      <c r="N271" s="233" t="s">
        <v>498</v>
      </c>
      <c r="O271" s="233" t="s">
        <v>65</v>
      </c>
      <c r="P271" s="233" t="s">
        <v>499</v>
      </c>
      <c r="Q271" s="248" t="s">
        <v>500</v>
      </c>
      <c r="R271" s="233" t="s">
        <v>501</v>
      </c>
      <c r="S271" s="233"/>
      <c r="T271" s="233" t="s">
        <v>502</v>
      </c>
      <c r="U271" s="233" t="s">
        <v>496</v>
      </c>
    </row>
    <row r="272" spans="2:21">
      <c r="B272" s="231">
        <v>3</v>
      </c>
      <c r="C272" s="231">
        <v>3</v>
      </c>
      <c r="D272" s="231">
        <v>419</v>
      </c>
      <c r="E272" t="s">
        <v>916</v>
      </c>
      <c r="F272" t="s">
        <v>911</v>
      </c>
      <c r="G272" s="232" t="s">
        <v>358</v>
      </c>
      <c r="H272" s="231" t="s">
        <v>489</v>
      </c>
      <c r="I272" s="231">
        <v>3</v>
      </c>
      <c r="J272" s="233" t="s">
        <v>189</v>
      </c>
      <c r="K272" s="233" t="s">
        <v>503</v>
      </c>
      <c r="L272" s="233" t="s">
        <v>158</v>
      </c>
      <c r="M272" s="233" t="s">
        <v>168</v>
      </c>
      <c r="N272" s="233" t="s">
        <v>504</v>
      </c>
      <c r="O272" s="233" t="s">
        <v>499</v>
      </c>
      <c r="P272" s="233" t="s">
        <v>505</v>
      </c>
      <c r="Q272" s="248" t="s">
        <v>506</v>
      </c>
      <c r="R272" s="233" t="s">
        <v>507</v>
      </c>
      <c r="S272" s="233"/>
      <c r="T272" s="233" t="s">
        <v>508</v>
      </c>
      <c r="U272" s="233" t="s">
        <v>509</v>
      </c>
    </row>
    <row r="273" spans="2:21">
      <c r="B273" s="231">
        <v>4</v>
      </c>
      <c r="C273" s="231">
        <v>4</v>
      </c>
      <c r="D273" s="231">
        <v>400</v>
      </c>
      <c r="E273" t="s">
        <v>917</v>
      </c>
      <c r="F273" t="s">
        <v>911</v>
      </c>
      <c r="G273" s="232" t="s">
        <v>510</v>
      </c>
      <c r="H273" s="231" t="s">
        <v>489</v>
      </c>
      <c r="I273" s="231">
        <v>4</v>
      </c>
      <c r="J273" s="233" t="s">
        <v>58</v>
      </c>
      <c r="K273" s="233" t="s">
        <v>50</v>
      </c>
      <c r="L273" s="233" t="s">
        <v>36</v>
      </c>
      <c r="M273" s="233" t="s">
        <v>511</v>
      </c>
      <c r="N273" s="233" t="s">
        <v>512</v>
      </c>
      <c r="O273" s="233" t="s">
        <v>113</v>
      </c>
      <c r="P273" s="233" t="s">
        <v>203</v>
      </c>
      <c r="Q273" s="248" t="s">
        <v>513</v>
      </c>
      <c r="R273" s="233" t="s">
        <v>514</v>
      </c>
      <c r="S273" s="233"/>
      <c r="T273" s="233" t="s">
        <v>515</v>
      </c>
      <c r="U273" s="233" t="s">
        <v>516</v>
      </c>
    </row>
    <row r="274" spans="2:21">
      <c r="B274" s="231">
        <v>5</v>
      </c>
      <c r="C274" s="231">
        <v>1</v>
      </c>
      <c r="D274" s="231">
        <v>500</v>
      </c>
      <c r="E274" t="s">
        <v>918</v>
      </c>
      <c r="F274" t="s">
        <v>911</v>
      </c>
      <c r="G274" s="232" t="s">
        <v>517</v>
      </c>
      <c r="H274" s="231" t="s">
        <v>518</v>
      </c>
      <c r="I274" s="231">
        <v>1</v>
      </c>
      <c r="J274" s="233" t="s">
        <v>66</v>
      </c>
      <c r="K274" s="233" t="s">
        <v>519</v>
      </c>
      <c r="L274" s="233" t="s">
        <v>520</v>
      </c>
      <c r="M274" s="233" t="s">
        <v>521</v>
      </c>
      <c r="N274" s="233" t="s">
        <v>131</v>
      </c>
      <c r="O274" s="233" t="s">
        <v>522</v>
      </c>
      <c r="P274" s="233" t="s">
        <v>47</v>
      </c>
      <c r="Q274" s="248" t="s">
        <v>523</v>
      </c>
      <c r="R274" s="233" t="s">
        <v>524</v>
      </c>
      <c r="S274" s="233"/>
      <c r="T274" s="233" t="s">
        <v>525</v>
      </c>
      <c r="U274" s="233" t="s">
        <v>516</v>
      </c>
    </row>
    <row r="275" spans="2:21">
      <c r="B275" s="231">
        <v>6</v>
      </c>
      <c r="C275" s="231">
        <v>2</v>
      </c>
      <c r="D275" s="231">
        <v>506</v>
      </c>
      <c r="E275" t="s">
        <v>919</v>
      </c>
      <c r="F275" t="s">
        <v>911</v>
      </c>
      <c r="G275" s="232" t="s">
        <v>526</v>
      </c>
      <c r="H275" s="231" t="s">
        <v>518</v>
      </c>
      <c r="I275" s="231">
        <v>2</v>
      </c>
      <c r="J275" s="233" t="s">
        <v>20</v>
      </c>
      <c r="K275" s="233" t="s">
        <v>527</v>
      </c>
      <c r="L275" s="233" t="s">
        <v>528</v>
      </c>
      <c r="M275" s="233" t="s">
        <v>529</v>
      </c>
      <c r="N275" s="233" t="s">
        <v>27</v>
      </c>
      <c r="O275" s="233" t="s">
        <v>168</v>
      </c>
      <c r="P275" s="233" t="s">
        <v>493</v>
      </c>
      <c r="Q275" s="248" t="s">
        <v>530</v>
      </c>
      <c r="R275" s="233" t="s">
        <v>531</v>
      </c>
      <c r="S275" s="233"/>
      <c r="T275" s="233" t="s">
        <v>532</v>
      </c>
      <c r="U275" s="233" t="s">
        <v>533</v>
      </c>
    </row>
    <row r="276" spans="2:21">
      <c r="B276" s="231">
        <v>7</v>
      </c>
      <c r="C276" s="231">
        <v>5</v>
      </c>
      <c r="D276" s="231">
        <v>422</v>
      </c>
      <c r="E276" t="s">
        <v>920</v>
      </c>
      <c r="F276" t="s">
        <v>911</v>
      </c>
      <c r="G276" s="232" t="s">
        <v>534</v>
      </c>
      <c r="H276" s="231" t="s">
        <v>489</v>
      </c>
      <c r="I276" s="231">
        <v>5</v>
      </c>
      <c r="J276" s="233" t="s">
        <v>216</v>
      </c>
      <c r="K276" s="233" t="s">
        <v>114</v>
      </c>
      <c r="L276" s="233" t="s">
        <v>132</v>
      </c>
      <c r="M276" s="233" t="s">
        <v>535</v>
      </c>
      <c r="N276" s="233" t="s">
        <v>536</v>
      </c>
      <c r="O276" s="233" t="s">
        <v>537</v>
      </c>
      <c r="P276" s="233" t="s">
        <v>40</v>
      </c>
      <c r="Q276" s="248" t="s">
        <v>538</v>
      </c>
      <c r="R276" s="233" t="s">
        <v>539</v>
      </c>
      <c r="S276" s="233"/>
      <c r="T276" s="233" t="s">
        <v>532</v>
      </c>
      <c r="U276" s="233" t="s">
        <v>533</v>
      </c>
    </row>
    <row r="277" spans="2:21">
      <c r="B277" s="231">
        <v>8</v>
      </c>
      <c r="C277" s="231">
        <v>6</v>
      </c>
      <c r="D277" s="231">
        <v>456</v>
      </c>
      <c r="E277" t="s">
        <v>921</v>
      </c>
      <c r="F277" t="s">
        <v>911</v>
      </c>
      <c r="G277" t="s">
        <v>540</v>
      </c>
      <c r="H277" s="231" t="s">
        <v>489</v>
      </c>
      <c r="I277" s="231">
        <v>6</v>
      </c>
      <c r="J277" s="233" t="s">
        <v>541</v>
      </c>
      <c r="K277" s="233" t="s">
        <v>152</v>
      </c>
      <c r="L277" s="233" t="s">
        <v>27</v>
      </c>
      <c r="M277" s="233" t="s">
        <v>542</v>
      </c>
      <c r="N277" s="233" t="s">
        <v>29</v>
      </c>
      <c r="O277" s="233" t="s">
        <v>543</v>
      </c>
      <c r="P277" s="233" t="s">
        <v>544</v>
      </c>
      <c r="Q277" s="248" t="s">
        <v>98</v>
      </c>
      <c r="R277" s="233" t="s">
        <v>545</v>
      </c>
      <c r="S277" s="233"/>
      <c r="T277" s="233" t="s">
        <v>507</v>
      </c>
      <c r="U277" s="233" t="s">
        <v>533</v>
      </c>
    </row>
    <row r="278" spans="2:21">
      <c r="B278" s="231">
        <v>9</v>
      </c>
      <c r="C278" s="231">
        <v>7</v>
      </c>
      <c r="D278" s="231">
        <v>412</v>
      </c>
      <c r="E278" t="s">
        <v>922</v>
      </c>
      <c r="F278" t="s">
        <v>911</v>
      </c>
      <c r="G278" s="232"/>
      <c r="H278" s="231" t="s">
        <v>489</v>
      </c>
      <c r="I278" s="231">
        <v>7</v>
      </c>
      <c r="J278" s="233" t="s">
        <v>103</v>
      </c>
      <c r="K278" s="233" t="s">
        <v>546</v>
      </c>
      <c r="L278" s="233" t="s">
        <v>61</v>
      </c>
      <c r="M278" s="233" t="s">
        <v>512</v>
      </c>
      <c r="N278" s="233" t="s">
        <v>132</v>
      </c>
      <c r="O278" s="233" t="s">
        <v>237</v>
      </c>
      <c r="P278" s="233" t="s">
        <v>547</v>
      </c>
      <c r="Q278" s="248" t="s">
        <v>548</v>
      </c>
      <c r="R278" s="233" t="s">
        <v>549</v>
      </c>
      <c r="S278" s="233"/>
      <c r="T278" s="233" t="s">
        <v>550</v>
      </c>
      <c r="U278" s="233" t="s">
        <v>551</v>
      </c>
    </row>
    <row r="279" spans="2:21">
      <c r="B279" s="231">
        <v>10</v>
      </c>
      <c r="C279" s="231">
        <v>8</v>
      </c>
      <c r="D279" s="231">
        <v>454</v>
      </c>
      <c r="E279" t="s">
        <v>923</v>
      </c>
      <c r="F279" t="s">
        <v>911</v>
      </c>
      <c r="G279" t="s">
        <v>552</v>
      </c>
      <c r="H279" s="231" t="s">
        <v>489</v>
      </c>
      <c r="I279" s="231">
        <v>8</v>
      </c>
      <c r="J279" s="233" t="s">
        <v>553</v>
      </c>
      <c r="K279" s="233" t="s">
        <v>49</v>
      </c>
      <c r="L279" s="233" t="s">
        <v>554</v>
      </c>
      <c r="M279" s="233" t="s">
        <v>75</v>
      </c>
      <c r="N279" s="233" t="s">
        <v>555</v>
      </c>
      <c r="O279" s="233" t="s">
        <v>141</v>
      </c>
      <c r="P279" s="233" t="s">
        <v>209</v>
      </c>
      <c r="Q279" s="248" t="s">
        <v>556</v>
      </c>
      <c r="R279" s="233" t="s">
        <v>557</v>
      </c>
      <c r="S279" s="233"/>
      <c r="T279" s="233" t="s">
        <v>558</v>
      </c>
      <c r="U279" s="233" t="s">
        <v>559</v>
      </c>
    </row>
    <row r="280" spans="2:21">
      <c r="B280" s="231">
        <v>11</v>
      </c>
      <c r="C280" s="231">
        <v>3</v>
      </c>
      <c r="D280" s="231">
        <v>501</v>
      </c>
      <c r="E280" t="s">
        <v>924</v>
      </c>
      <c r="F280" t="s">
        <v>911</v>
      </c>
      <c r="G280" s="232" t="s">
        <v>510</v>
      </c>
      <c r="H280" s="231" t="s">
        <v>518</v>
      </c>
      <c r="I280" s="231">
        <v>3</v>
      </c>
      <c r="J280" s="233" t="s">
        <v>560</v>
      </c>
      <c r="K280" s="233" t="s">
        <v>118</v>
      </c>
      <c r="L280" s="233" t="s">
        <v>561</v>
      </c>
      <c r="M280" s="233" t="s">
        <v>65</v>
      </c>
      <c r="N280" s="233" t="s">
        <v>562</v>
      </c>
      <c r="O280" s="233" t="s">
        <v>148</v>
      </c>
      <c r="P280" s="233" t="s">
        <v>563</v>
      </c>
      <c r="Q280" s="248" t="s">
        <v>564</v>
      </c>
      <c r="R280" s="233" t="s">
        <v>565</v>
      </c>
      <c r="S280" s="233"/>
      <c r="T280" s="233" t="s">
        <v>566</v>
      </c>
      <c r="U280" s="233" t="s">
        <v>559</v>
      </c>
    </row>
    <row r="281" spans="2:21">
      <c r="B281" s="231">
        <v>12</v>
      </c>
      <c r="C281" s="231">
        <v>9</v>
      </c>
      <c r="D281" s="231">
        <v>458</v>
      </c>
      <c r="E281" t="s">
        <v>925</v>
      </c>
      <c r="F281" t="s">
        <v>911</v>
      </c>
      <c r="G281" s="232" t="s">
        <v>567</v>
      </c>
      <c r="H281" s="231" t="s">
        <v>489</v>
      </c>
      <c r="I281" s="231">
        <v>9</v>
      </c>
      <c r="J281" s="233" t="s">
        <v>67</v>
      </c>
      <c r="K281" s="233" t="s">
        <v>568</v>
      </c>
      <c r="L281" s="233" t="s">
        <v>231</v>
      </c>
      <c r="M281" s="233" t="s">
        <v>569</v>
      </c>
      <c r="N281" s="233" t="s">
        <v>123</v>
      </c>
      <c r="O281" s="233" t="s">
        <v>570</v>
      </c>
      <c r="P281" s="233" t="s">
        <v>571</v>
      </c>
      <c r="Q281" s="248" t="s">
        <v>572</v>
      </c>
      <c r="R281" s="233" t="s">
        <v>573</v>
      </c>
      <c r="S281" s="233"/>
      <c r="T281" s="233" t="s">
        <v>566</v>
      </c>
      <c r="U281" s="233" t="s">
        <v>559</v>
      </c>
    </row>
    <row r="282" spans="2:21">
      <c r="B282" s="245">
        <v>13</v>
      </c>
      <c r="C282" s="245">
        <v>10</v>
      </c>
      <c r="D282" s="245">
        <v>430</v>
      </c>
      <c r="E282" s="244" t="s">
        <v>913</v>
      </c>
      <c r="F282" s="244" t="s">
        <v>911</v>
      </c>
      <c r="G282" s="246" t="s">
        <v>127</v>
      </c>
      <c r="H282" s="245" t="s">
        <v>489</v>
      </c>
      <c r="I282" s="245">
        <v>10</v>
      </c>
      <c r="J282" s="247" t="s">
        <v>560</v>
      </c>
      <c r="K282" s="247" t="s">
        <v>307</v>
      </c>
      <c r="L282" s="247" t="s">
        <v>553</v>
      </c>
      <c r="M282" s="247" t="s">
        <v>215</v>
      </c>
      <c r="N282" s="247" t="s">
        <v>574</v>
      </c>
      <c r="O282" s="247" t="s">
        <v>575</v>
      </c>
      <c r="P282" s="247" t="s">
        <v>185</v>
      </c>
      <c r="Q282" s="248" t="s">
        <v>576</v>
      </c>
      <c r="R282" s="247" t="s">
        <v>577</v>
      </c>
      <c r="S282" s="247"/>
      <c r="T282" s="247" t="s">
        <v>578</v>
      </c>
      <c r="U282" s="247" t="s">
        <v>579</v>
      </c>
    </row>
    <row r="283" spans="2:21">
      <c r="B283" s="231">
        <v>14</v>
      </c>
      <c r="C283" s="231">
        <v>4</v>
      </c>
      <c r="D283" s="231">
        <v>504</v>
      </c>
      <c r="E283" t="s">
        <v>951</v>
      </c>
      <c r="F283" t="s">
        <v>911</v>
      </c>
      <c r="G283" s="232" t="s">
        <v>580</v>
      </c>
      <c r="H283" s="231" t="s">
        <v>518</v>
      </c>
      <c r="I283" s="231">
        <v>4</v>
      </c>
      <c r="J283" s="233" t="s">
        <v>554</v>
      </c>
      <c r="K283" s="233" t="s">
        <v>307</v>
      </c>
      <c r="L283" s="233" t="s">
        <v>158</v>
      </c>
      <c r="M283" s="233" t="s">
        <v>478</v>
      </c>
      <c r="N283" s="233" t="s">
        <v>581</v>
      </c>
      <c r="O283" s="233" t="s">
        <v>582</v>
      </c>
      <c r="P283" s="233" t="s">
        <v>583</v>
      </c>
      <c r="Q283" s="248" t="s">
        <v>584</v>
      </c>
      <c r="R283" s="233" t="s">
        <v>585</v>
      </c>
      <c r="S283" s="233"/>
      <c r="T283" s="233" t="s">
        <v>586</v>
      </c>
      <c r="U283" s="233" t="s">
        <v>579</v>
      </c>
    </row>
    <row r="284" spans="2:21">
      <c r="B284" s="231">
        <v>15</v>
      </c>
      <c r="C284" s="231">
        <v>11</v>
      </c>
      <c r="D284" s="231">
        <v>439</v>
      </c>
      <c r="E284" t="s">
        <v>952</v>
      </c>
      <c r="F284" t="s">
        <v>911</v>
      </c>
      <c r="G284" s="232" t="s">
        <v>587</v>
      </c>
      <c r="H284" s="231" t="s">
        <v>489</v>
      </c>
      <c r="I284" s="231">
        <v>11</v>
      </c>
      <c r="J284" s="233" t="s">
        <v>588</v>
      </c>
      <c r="K284" s="233" t="s">
        <v>181</v>
      </c>
      <c r="L284" s="233" t="s">
        <v>185</v>
      </c>
      <c r="M284" s="233" t="s">
        <v>119</v>
      </c>
      <c r="N284" s="233" t="s">
        <v>589</v>
      </c>
      <c r="O284" s="233" t="s">
        <v>590</v>
      </c>
      <c r="P284" s="233" t="s">
        <v>591</v>
      </c>
      <c r="Q284" s="248" t="s">
        <v>592</v>
      </c>
      <c r="R284" s="233" t="s">
        <v>528</v>
      </c>
      <c r="S284" s="233"/>
      <c r="T284" s="233" t="s">
        <v>593</v>
      </c>
      <c r="U284" s="233" t="s">
        <v>594</v>
      </c>
    </row>
    <row r="285" spans="2:21">
      <c r="B285" s="231">
        <v>16</v>
      </c>
      <c r="C285" s="231">
        <v>12</v>
      </c>
      <c r="D285" s="231">
        <v>424</v>
      </c>
      <c r="E285" t="s">
        <v>953</v>
      </c>
      <c r="F285" t="s">
        <v>911</v>
      </c>
      <c r="G285" s="232"/>
      <c r="H285" s="231" t="s">
        <v>489</v>
      </c>
      <c r="I285" s="231">
        <v>12</v>
      </c>
      <c r="J285" s="233" t="s">
        <v>50</v>
      </c>
      <c r="K285" s="233" t="s">
        <v>211</v>
      </c>
      <c r="L285" s="233" t="s">
        <v>119</v>
      </c>
      <c r="M285" s="233" t="s">
        <v>595</v>
      </c>
      <c r="N285" s="233" t="s">
        <v>67</v>
      </c>
      <c r="O285" s="233" t="s">
        <v>223</v>
      </c>
      <c r="P285" s="233" t="s">
        <v>596</v>
      </c>
      <c r="Q285" s="248" t="s">
        <v>597</v>
      </c>
      <c r="R285" s="233" t="s">
        <v>180</v>
      </c>
      <c r="S285" s="233"/>
      <c r="T285" s="233" t="s">
        <v>593</v>
      </c>
      <c r="U285" s="233" t="s">
        <v>594</v>
      </c>
    </row>
    <row r="286" spans="2:21">
      <c r="B286" s="231">
        <v>17</v>
      </c>
      <c r="C286" s="231">
        <v>5</v>
      </c>
      <c r="D286" s="231">
        <v>502</v>
      </c>
      <c r="E286" t="s">
        <v>954</v>
      </c>
      <c r="F286" t="s">
        <v>911</v>
      </c>
      <c r="G286" s="232" t="s">
        <v>378</v>
      </c>
      <c r="H286" s="231" t="s">
        <v>518</v>
      </c>
      <c r="I286" s="231">
        <v>5</v>
      </c>
      <c r="J286" s="233" t="s">
        <v>503</v>
      </c>
      <c r="K286" s="233" t="s">
        <v>86</v>
      </c>
      <c r="L286" s="233" t="s">
        <v>209</v>
      </c>
      <c r="M286" s="233" t="s">
        <v>86</v>
      </c>
      <c r="N286" s="233" t="s">
        <v>598</v>
      </c>
      <c r="O286" s="233" t="s">
        <v>164</v>
      </c>
      <c r="P286" s="233" t="s">
        <v>599</v>
      </c>
      <c r="Q286" s="248" t="s">
        <v>600</v>
      </c>
      <c r="R286" s="233" t="s">
        <v>110</v>
      </c>
      <c r="S286" s="233"/>
      <c r="T286" s="233" t="s">
        <v>601</v>
      </c>
      <c r="U286" s="233" t="s">
        <v>602</v>
      </c>
    </row>
    <row r="287" spans="2:21">
      <c r="B287" s="231">
        <v>18</v>
      </c>
      <c r="C287" s="231">
        <v>13</v>
      </c>
      <c r="D287" s="231">
        <v>403</v>
      </c>
      <c r="E287" t="s">
        <v>955</v>
      </c>
      <c r="F287" t="s">
        <v>911</v>
      </c>
      <c r="G287" s="232" t="s">
        <v>603</v>
      </c>
      <c r="H287" s="231" t="s">
        <v>489</v>
      </c>
      <c r="I287" s="231">
        <v>13</v>
      </c>
      <c r="J287" s="233" t="s">
        <v>604</v>
      </c>
      <c r="K287" s="233" t="s">
        <v>226</v>
      </c>
      <c r="L287" s="233" t="s">
        <v>241</v>
      </c>
      <c r="M287" s="233" t="s">
        <v>560</v>
      </c>
      <c r="N287" s="233" t="s">
        <v>241</v>
      </c>
      <c r="O287" s="233" t="s">
        <v>27</v>
      </c>
      <c r="P287" s="233" t="s">
        <v>347</v>
      </c>
      <c r="Q287" s="248" t="s">
        <v>605</v>
      </c>
      <c r="R287" s="233" t="s">
        <v>93</v>
      </c>
      <c r="S287" s="233"/>
      <c r="T287" s="233" t="s">
        <v>601</v>
      </c>
      <c r="U287" s="233" t="s">
        <v>602</v>
      </c>
    </row>
    <row r="288" spans="2:21">
      <c r="B288" s="231">
        <v>19</v>
      </c>
      <c r="C288" s="231">
        <v>6</v>
      </c>
      <c r="D288" s="231">
        <v>503</v>
      </c>
      <c r="E288" t="s">
        <v>956</v>
      </c>
      <c r="F288" t="s">
        <v>911</v>
      </c>
      <c r="G288" s="232" t="s">
        <v>580</v>
      </c>
      <c r="H288" s="231" t="s">
        <v>518</v>
      </c>
      <c r="I288" s="231">
        <v>6</v>
      </c>
      <c r="J288" s="233" t="s">
        <v>606</v>
      </c>
      <c r="K288" s="233" t="s">
        <v>142</v>
      </c>
      <c r="L288" s="233" t="s">
        <v>607</v>
      </c>
      <c r="M288" s="233" t="s">
        <v>251</v>
      </c>
      <c r="N288" s="233" t="s">
        <v>149</v>
      </c>
      <c r="O288" s="233" t="s">
        <v>608</v>
      </c>
      <c r="P288" s="233" t="s">
        <v>609</v>
      </c>
      <c r="Q288" s="248" t="s">
        <v>610</v>
      </c>
      <c r="R288" s="233" t="s">
        <v>611</v>
      </c>
      <c r="S288" s="233"/>
      <c r="T288" s="233" t="s">
        <v>601</v>
      </c>
      <c r="U288" s="233" t="s">
        <v>602</v>
      </c>
    </row>
    <row r="289" spans="2:21">
      <c r="B289" s="231">
        <v>20</v>
      </c>
      <c r="C289" s="231">
        <v>14</v>
      </c>
      <c r="D289" s="231">
        <v>402</v>
      </c>
      <c r="E289" t="s">
        <v>957</v>
      </c>
      <c r="F289" t="s">
        <v>911</v>
      </c>
      <c r="G289" s="232" t="s">
        <v>389</v>
      </c>
      <c r="H289" s="231" t="s">
        <v>489</v>
      </c>
      <c r="I289" s="231">
        <v>14</v>
      </c>
      <c r="J289" s="233" t="s">
        <v>565</v>
      </c>
      <c r="K289" s="233" t="s">
        <v>612</v>
      </c>
      <c r="L289" s="233" t="s">
        <v>589</v>
      </c>
      <c r="M289" s="233" t="s">
        <v>613</v>
      </c>
      <c r="N289" s="233" t="s">
        <v>160</v>
      </c>
      <c r="O289" s="233" t="s">
        <v>569</v>
      </c>
      <c r="P289" s="233" t="s">
        <v>555</v>
      </c>
      <c r="Q289" s="248" t="s">
        <v>614</v>
      </c>
      <c r="R289" s="233" t="s">
        <v>615</v>
      </c>
      <c r="S289" s="233"/>
      <c r="T289" s="233" t="s">
        <v>616</v>
      </c>
      <c r="U289" s="233" t="s">
        <v>617</v>
      </c>
    </row>
    <row r="290" spans="2:21">
      <c r="B290" s="231">
        <v>21</v>
      </c>
      <c r="C290" s="231">
        <v>15</v>
      </c>
      <c r="D290" s="231">
        <v>416</v>
      </c>
      <c r="E290" t="s">
        <v>958</v>
      </c>
      <c r="F290" t="s">
        <v>911</v>
      </c>
      <c r="G290" s="232" t="s">
        <v>618</v>
      </c>
      <c r="H290" s="231" t="s">
        <v>489</v>
      </c>
      <c r="I290" s="231">
        <v>15</v>
      </c>
      <c r="J290" s="233" t="s">
        <v>503</v>
      </c>
      <c r="K290" s="233" t="s">
        <v>86</v>
      </c>
      <c r="L290" s="233" t="s">
        <v>595</v>
      </c>
      <c r="M290" s="233" t="s">
        <v>218</v>
      </c>
      <c r="N290" s="233" t="s">
        <v>619</v>
      </c>
      <c r="O290" s="233" t="s">
        <v>237</v>
      </c>
      <c r="P290" s="233" t="s">
        <v>620</v>
      </c>
      <c r="Q290" s="248" t="s">
        <v>621</v>
      </c>
      <c r="R290" s="233" t="s">
        <v>207</v>
      </c>
      <c r="S290" s="233"/>
      <c r="T290" s="233" t="s">
        <v>622</v>
      </c>
      <c r="U290" s="233" t="s">
        <v>623</v>
      </c>
    </row>
    <row r="291" spans="2:21">
      <c r="B291" s="231">
        <v>22</v>
      </c>
      <c r="C291" s="231">
        <v>16</v>
      </c>
      <c r="D291" s="231">
        <v>442</v>
      </c>
      <c r="E291" t="s">
        <v>959</v>
      </c>
      <c r="F291" t="s">
        <v>911</v>
      </c>
      <c r="G291" s="232" t="s">
        <v>624</v>
      </c>
      <c r="H291" s="231" t="s">
        <v>489</v>
      </c>
      <c r="I291" s="231">
        <v>16</v>
      </c>
      <c r="J291" s="233" t="s">
        <v>138</v>
      </c>
      <c r="K291" s="233" t="s">
        <v>625</v>
      </c>
      <c r="L291" s="233" t="s">
        <v>626</v>
      </c>
      <c r="M291" s="233" t="s">
        <v>627</v>
      </c>
      <c r="N291" s="233" t="s">
        <v>628</v>
      </c>
      <c r="O291" s="233" t="s">
        <v>132</v>
      </c>
      <c r="P291" s="233" t="s">
        <v>629</v>
      </c>
      <c r="Q291" s="248" t="s">
        <v>630</v>
      </c>
      <c r="R291" s="233" t="s">
        <v>631</v>
      </c>
      <c r="S291" s="233"/>
      <c r="T291" s="233" t="s">
        <v>632</v>
      </c>
      <c r="U291" s="233" t="s">
        <v>633</v>
      </c>
    </row>
    <row r="292" spans="2:21">
      <c r="B292" s="231">
        <v>23</v>
      </c>
      <c r="C292" s="231">
        <v>17</v>
      </c>
      <c r="D292" s="231">
        <v>440</v>
      </c>
      <c r="E292" t="s">
        <v>960</v>
      </c>
      <c r="F292" t="s">
        <v>911</v>
      </c>
      <c r="G292" s="232" t="s">
        <v>634</v>
      </c>
      <c r="H292" s="231" t="s">
        <v>489</v>
      </c>
      <c r="I292" s="231">
        <v>17</v>
      </c>
      <c r="J292" s="233" t="s">
        <v>190</v>
      </c>
      <c r="K292" s="233" t="s">
        <v>635</v>
      </c>
      <c r="L292" s="233" t="s">
        <v>636</v>
      </c>
      <c r="M292" s="233" t="s">
        <v>60</v>
      </c>
      <c r="N292" s="233" t="s">
        <v>568</v>
      </c>
      <c r="O292" s="233" t="s">
        <v>637</v>
      </c>
      <c r="P292" s="233" t="s">
        <v>638</v>
      </c>
      <c r="Q292" s="248" t="s">
        <v>639</v>
      </c>
      <c r="R292" s="233" t="s">
        <v>193</v>
      </c>
      <c r="S292" s="233"/>
      <c r="T292" s="233" t="s">
        <v>640</v>
      </c>
      <c r="U292" s="233" t="s">
        <v>633</v>
      </c>
    </row>
    <row r="293" spans="2:21">
      <c r="B293" s="231">
        <v>24</v>
      </c>
      <c r="C293" s="231">
        <v>18</v>
      </c>
      <c r="D293" s="231">
        <v>435</v>
      </c>
      <c r="E293" t="s">
        <v>961</v>
      </c>
      <c r="F293" t="s">
        <v>911</v>
      </c>
      <c r="G293" s="232" t="s">
        <v>641</v>
      </c>
      <c r="H293" s="231" t="s">
        <v>489</v>
      </c>
      <c r="I293" s="231">
        <v>18</v>
      </c>
      <c r="J293" s="233" t="s">
        <v>642</v>
      </c>
      <c r="K293" s="233" t="s">
        <v>85</v>
      </c>
      <c r="L293" s="233" t="s">
        <v>643</v>
      </c>
      <c r="M293" s="233" t="s">
        <v>636</v>
      </c>
      <c r="N293" s="233" t="s">
        <v>604</v>
      </c>
      <c r="O293" s="233" t="s">
        <v>644</v>
      </c>
      <c r="P293" s="233" t="s">
        <v>149</v>
      </c>
      <c r="Q293" s="248" t="s">
        <v>645</v>
      </c>
      <c r="R293" s="233" t="s">
        <v>646</v>
      </c>
      <c r="S293" s="233"/>
      <c r="T293" s="233" t="s">
        <v>647</v>
      </c>
      <c r="U293" s="233" t="s">
        <v>648</v>
      </c>
    </row>
    <row r="294" spans="2:21">
      <c r="B294" s="231">
        <v>25</v>
      </c>
      <c r="C294" s="231">
        <v>19</v>
      </c>
      <c r="D294" s="231">
        <v>450</v>
      </c>
      <c r="E294" t="s">
        <v>962</v>
      </c>
      <c r="F294" t="s">
        <v>911</v>
      </c>
      <c r="G294" s="232" t="s">
        <v>649</v>
      </c>
      <c r="H294" s="231" t="s">
        <v>489</v>
      </c>
      <c r="I294" s="231">
        <v>19</v>
      </c>
      <c r="J294" s="233" t="s">
        <v>189</v>
      </c>
      <c r="K294" s="233" t="s">
        <v>650</v>
      </c>
      <c r="L294" s="233" t="s">
        <v>182</v>
      </c>
      <c r="M294" s="233" t="s">
        <v>174</v>
      </c>
      <c r="N294" s="233" t="s">
        <v>75</v>
      </c>
      <c r="O294" s="233" t="s">
        <v>555</v>
      </c>
      <c r="P294" s="233" t="s">
        <v>651</v>
      </c>
      <c r="Q294" s="248" t="s">
        <v>652</v>
      </c>
      <c r="R294" s="233" t="s">
        <v>653</v>
      </c>
      <c r="S294" s="233"/>
      <c r="T294" s="233" t="s">
        <v>654</v>
      </c>
      <c r="U294" s="233" t="s">
        <v>648</v>
      </c>
    </row>
    <row r="295" spans="2:21">
      <c r="B295" s="231">
        <v>26</v>
      </c>
      <c r="C295" s="231">
        <v>20</v>
      </c>
      <c r="D295" s="231">
        <v>459</v>
      </c>
      <c r="E295" t="s">
        <v>963</v>
      </c>
      <c r="F295" t="s">
        <v>911</v>
      </c>
      <c r="G295" s="232" t="s">
        <v>655</v>
      </c>
      <c r="H295" s="231" t="s">
        <v>489</v>
      </c>
      <c r="I295" s="231">
        <v>20</v>
      </c>
      <c r="J295" s="233" t="s">
        <v>656</v>
      </c>
      <c r="K295" s="233" t="s">
        <v>240</v>
      </c>
      <c r="L295" s="233" t="s">
        <v>544</v>
      </c>
      <c r="M295" s="233" t="s">
        <v>207</v>
      </c>
      <c r="N295" s="233" t="s">
        <v>175</v>
      </c>
      <c r="O295" s="233" t="s">
        <v>595</v>
      </c>
      <c r="P295" s="233" t="s">
        <v>657</v>
      </c>
      <c r="Q295" s="248" t="s">
        <v>658</v>
      </c>
      <c r="R295" s="233" t="s">
        <v>659</v>
      </c>
      <c r="S295" s="233"/>
      <c r="T295" s="233" t="s">
        <v>654</v>
      </c>
      <c r="U295" s="233" t="s">
        <v>648</v>
      </c>
    </row>
    <row r="296" spans="2:21">
      <c r="B296" s="231">
        <v>27</v>
      </c>
      <c r="C296" s="231">
        <v>21</v>
      </c>
      <c r="D296" s="231">
        <v>409</v>
      </c>
      <c r="E296" t="s">
        <v>964</v>
      </c>
      <c r="F296" t="s">
        <v>911</v>
      </c>
      <c r="G296" s="232"/>
      <c r="H296" s="231" t="s">
        <v>489</v>
      </c>
      <c r="I296" s="231">
        <v>21</v>
      </c>
      <c r="J296" s="233" t="s">
        <v>660</v>
      </c>
      <c r="K296" s="233" t="s">
        <v>226</v>
      </c>
      <c r="L296" s="233" t="s">
        <v>132</v>
      </c>
      <c r="M296" s="233" t="s">
        <v>643</v>
      </c>
      <c r="N296" s="233" t="s">
        <v>661</v>
      </c>
      <c r="O296" s="233" t="s">
        <v>519</v>
      </c>
      <c r="P296" s="233" t="s">
        <v>167</v>
      </c>
      <c r="Q296" s="248" t="s">
        <v>662</v>
      </c>
      <c r="R296" s="233" t="s">
        <v>663</v>
      </c>
      <c r="S296" s="233"/>
      <c r="T296" s="233" t="s">
        <v>654</v>
      </c>
      <c r="U296" s="233" t="s">
        <v>648</v>
      </c>
    </row>
    <row r="297" spans="2:21">
      <c r="B297" s="231">
        <v>28</v>
      </c>
      <c r="C297" s="231">
        <v>22</v>
      </c>
      <c r="D297" s="231">
        <v>415</v>
      </c>
      <c r="E297" t="s">
        <v>965</v>
      </c>
      <c r="F297" t="s">
        <v>911</v>
      </c>
      <c r="G297" s="232"/>
      <c r="H297" s="231" t="s">
        <v>489</v>
      </c>
      <c r="I297" s="231">
        <v>22</v>
      </c>
      <c r="J297" s="233" t="s">
        <v>664</v>
      </c>
      <c r="K297" s="233" t="s">
        <v>251</v>
      </c>
      <c r="L297" s="233" t="s">
        <v>110</v>
      </c>
      <c r="M297" s="233" t="s">
        <v>124</v>
      </c>
      <c r="N297" s="233" t="s">
        <v>665</v>
      </c>
      <c r="O297" s="233" t="s">
        <v>666</v>
      </c>
      <c r="P297" s="233" t="s">
        <v>96</v>
      </c>
      <c r="Q297" s="248" t="s">
        <v>667</v>
      </c>
      <c r="R297" s="233" t="s">
        <v>668</v>
      </c>
      <c r="S297" s="233"/>
      <c r="T297" s="233" t="s">
        <v>669</v>
      </c>
      <c r="U297" s="233" t="s">
        <v>670</v>
      </c>
    </row>
    <row r="298" spans="2:21">
      <c r="B298" s="231">
        <v>29</v>
      </c>
      <c r="C298" s="231">
        <v>23</v>
      </c>
      <c r="D298" s="231">
        <v>407</v>
      </c>
      <c r="E298" t="s">
        <v>966</v>
      </c>
      <c r="F298" t="s">
        <v>911</v>
      </c>
      <c r="G298" s="232" t="s">
        <v>671</v>
      </c>
      <c r="H298" s="231" t="s">
        <v>489</v>
      </c>
      <c r="I298" s="231">
        <v>23</v>
      </c>
      <c r="J298" s="233" t="s">
        <v>672</v>
      </c>
      <c r="K298" s="233" t="s">
        <v>123</v>
      </c>
      <c r="L298" s="233" t="s">
        <v>673</v>
      </c>
      <c r="M298" s="233" t="s">
        <v>29</v>
      </c>
      <c r="N298" s="233" t="s">
        <v>674</v>
      </c>
      <c r="O298" s="233" t="s">
        <v>158</v>
      </c>
      <c r="P298" s="233" t="s">
        <v>233</v>
      </c>
      <c r="Q298" s="248" t="s">
        <v>675</v>
      </c>
      <c r="R298" s="233" t="s">
        <v>676</v>
      </c>
      <c r="S298" s="233"/>
      <c r="T298" s="233" t="s">
        <v>677</v>
      </c>
      <c r="U298" s="233" t="s">
        <v>670</v>
      </c>
    </row>
    <row r="299" spans="2:21">
      <c r="B299" s="231">
        <v>30</v>
      </c>
      <c r="C299" s="231">
        <v>24</v>
      </c>
      <c r="D299" s="231">
        <v>437</v>
      </c>
      <c r="E299" t="s">
        <v>967</v>
      </c>
      <c r="F299" t="s">
        <v>911</v>
      </c>
      <c r="G299" s="232" t="s">
        <v>678</v>
      </c>
      <c r="H299" s="231" t="s">
        <v>489</v>
      </c>
      <c r="I299" s="231">
        <v>24</v>
      </c>
      <c r="J299" s="233" t="s">
        <v>599</v>
      </c>
      <c r="K299" s="233" t="s">
        <v>679</v>
      </c>
      <c r="L299" s="233" t="s">
        <v>680</v>
      </c>
      <c r="M299" s="233" t="s">
        <v>681</v>
      </c>
      <c r="N299" s="233" t="s">
        <v>216</v>
      </c>
      <c r="O299" s="233" t="s">
        <v>73</v>
      </c>
      <c r="P299" s="233" t="s">
        <v>167</v>
      </c>
      <c r="Q299" s="248" t="s">
        <v>682</v>
      </c>
      <c r="R299" s="233" t="s">
        <v>683</v>
      </c>
      <c r="S299" s="233"/>
      <c r="T299" s="233" t="s">
        <v>684</v>
      </c>
      <c r="U299" s="233" t="s">
        <v>685</v>
      </c>
    </row>
    <row r="300" spans="2:21">
      <c r="B300" s="231">
        <v>31</v>
      </c>
      <c r="C300" s="231">
        <v>25</v>
      </c>
      <c r="D300" s="231">
        <v>417</v>
      </c>
      <c r="E300" t="s">
        <v>968</v>
      </c>
      <c r="F300" t="s">
        <v>911</v>
      </c>
      <c r="G300" s="232" t="s">
        <v>380</v>
      </c>
      <c r="H300" s="231" t="s">
        <v>489</v>
      </c>
      <c r="I300" s="231">
        <v>25</v>
      </c>
      <c r="J300" s="233" t="s">
        <v>152</v>
      </c>
      <c r="K300" s="233" t="s">
        <v>604</v>
      </c>
      <c r="L300" s="233" t="s">
        <v>562</v>
      </c>
      <c r="M300" s="233" t="s">
        <v>686</v>
      </c>
      <c r="N300" s="233" t="s">
        <v>223</v>
      </c>
      <c r="O300" s="233" t="s">
        <v>687</v>
      </c>
      <c r="P300" s="233" t="s">
        <v>251</v>
      </c>
      <c r="Q300" s="248" t="s">
        <v>688</v>
      </c>
      <c r="R300" s="233" t="s">
        <v>689</v>
      </c>
      <c r="S300" s="233"/>
      <c r="T300" s="233" t="s">
        <v>684</v>
      </c>
      <c r="U300" s="233" t="s">
        <v>685</v>
      </c>
    </row>
    <row r="301" spans="2:21">
      <c r="B301" s="231">
        <v>32</v>
      </c>
      <c r="C301" s="231">
        <v>26</v>
      </c>
      <c r="D301" s="231">
        <v>441</v>
      </c>
      <c r="E301" t="s">
        <v>969</v>
      </c>
      <c r="F301" t="s">
        <v>911</v>
      </c>
      <c r="G301" s="232" t="s">
        <v>690</v>
      </c>
      <c r="H301" s="231" t="s">
        <v>489</v>
      </c>
      <c r="I301" s="231">
        <v>26</v>
      </c>
      <c r="J301" s="233" t="s">
        <v>240</v>
      </c>
      <c r="K301" s="233" t="s">
        <v>132</v>
      </c>
      <c r="L301" s="233" t="s">
        <v>88</v>
      </c>
      <c r="M301" s="233" t="s">
        <v>114</v>
      </c>
      <c r="N301" s="233" t="s">
        <v>691</v>
      </c>
      <c r="O301" s="233" t="s">
        <v>191</v>
      </c>
      <c r="P301" s="233" t="s">
        <v>635</v>
      </c>
      <c r="Q301" s="248" t="s">
        <v>688</v>
      </c>
      <c r="R301" s="233" t="s">
        <v>689</v>
      </c>
      <c r="S301" s="233"/>
      <c r="T301" s="233" t="s">
        <v>684</v>
      </c>
      <c r="U301" s="233" t="s">
        <v>685</v>
      </c>
    </row>
    <row r="302" spans="2:21">
      <c r="B302" s="231">
        <v>33</v>
      </c>
      <c r="C302" s="231">
        <v>27</v>
      </c>
      <c r="D302" s="231">
        <v>438</v>
      </c>
      <c r="E302" t="s">
        <v>970</v>
      </c>
      <c r="F302" t="s">
        <v>911</v>
      </c>
      <c r="G302" s="232"/>
      <c r="H302" s="231" t="s">
        <v>489</v>
      </c>
      <c r="I302" s="231">
        <v>27</v>
      </c>
      <c r="J302" s="233" t="s">
        <v>681</v>
      </c>
      <c r="K302" s="233" t="s">
        <v>692</v>
      </c>
      <c r="L302" s="233" t="s">
        <v>181</v>
      </c>
      <c r="M302" s="233" t="s">
        <v>693</v>
      </c>
      <c r="N302" s="233" t="s">
        <v>694</v>
      </c>
      <c r="O302" s="233" t="s">
        <v>569</v>
      </c>
      <c r="P302" s="233" t="s">
        <v>129</v>
      </c>
      <c r="Q302" s="248" t="s">
        <v>695</v>
      </c>
      <c r="R302" s="233" t="s">
        <v>696</v>
      </c>
      <c r="S302" s="233"/>
      <c r="T302" s="233" t="s">
        <v>697</v>
      </c>
      <c r="U302" s="233" t="s">
        <v>698</v>
      </c>
    </row>
    <row r="303" spans="2:21">
      <c r="B303" s="231">
        <v>34</v>
      </c>
      <c r="C303" s="231">
        <v>28</v>
      </c>
      <c r="D303" s="231">
        <v>427</v>
      </c>
      <c r="E303" t="s">
        <v>971</v>
      </c>
      <c r="F303" t="s">
        <v>911</v>
      </c>
      <c r="G303" s="232" t="s">
        <v>699</v>
      </c>
      <c r="H303" s="231" t="s">
        <v>489</v>
      </c>
      <c r="I303" s="231">
        <v>28</v>
      </c>
      <c r="J303" s="233" t="s">
        <v>700</v>
      </c>
      <c r="K303" s="233" t="s">
        <v>60</v>
      </c>
      <c r="L303" s="233" t="s">
        <v>210</v>
      </c>
      <c r="M303" s="233" t="s">
        <v>104</v>
      </c>
      <c r="N303" s="233" t="s">
        <v>701</v>
      </c>
      <c r="O303" s="233" t="s">
        <v>702</v>
      </c>
      <c r="P303" s="233" t="s">
        <v>595</v>
      </c>
      <c r="Q303" s="248" t="s">
        <v>703</v>
      </c>
      <c r="R303" s="233" t="s">
        <v>704</v>
      </c>
      <c r="S303" s="233"/>
      <c r="T303" s="233" t="s">
        <v>705</v>
      </c>
      <c r="U303" s="233" t="s">
        <v>698</v>
      </c>
    </row>
    <row r="304" spans="2:21">
      <c r="B304" s="231">
        <v>35</v>
      </c>
      <c r="C304" s="231">
        <v>29</v>
      </c>
      <c r="D304" s="231">
        <v>432</v>
      </c>
      <c r="E304" t="s">
        <v>972</v>
      </c>
      <c r="F304" t="s">
        <v>911</v>
      </c>
      <c r="G304" s="232"/>
      <c r="H304" s="231" t="s">
        <v>489</v>
      </c>
      <c r="I304" s="231">
        <v>29</v>
      </c>
      <c r="J304" s="233" t="s">
        <v>628</v>
      </c>
      <c r="K304" s="233" t="s">
        <v>261</v>
      </c>
      <c r="L304" s="233" t="s">
        <v>706</v>
      </c>
      <c r="M304" s="233" t="s">
        <v>707</v>
      </c>
      <c r="N304" s="233" t="s">
        <v>608</v>
      </c>
      <c r="O304" s="233" t="s">
        <v>708</v>
      </c>
      <c r="P304" s="233" t="s">
        <v>709</v>
      </c>
      <c r="Q304" s="248" t="s">
        <v>710</v>
      </c>
      <c r="R304" s="233" t="s">
        <v>711</v>
      </c>
      <c r="S304" s="233"/>
      <c r="T304" s="233" t="s">
        <v>705</v>
      </c>
      <c r="U304" s="233" t="s">
        <v>712</v>
      </c>
    </row>
    <row r="305" spans="2:21">
      <c r="B305" s="231">
        <v>36</v>
      </c>
      <c r="C305" s="231">
        <v>30</v>
      </c>
      <c r="D305" s="231">
        <v>457</v>
      </c>
      <c r="E305" t="s">
        <v>973</v>
      </c>
      <c r="F305" t="s">
        <v>911</v>
      </c>
      <c r="G305" s="232" t="s">
        <v>713</v>
      </c>
      <c r="H305" s="231" t="s">
        <v>489</v>
      </c>
      <c r="I305" s="231">
        <v>30</v>
      </c>
      <c r="J305" s="233" t="s">
        <v>113</v>
      </c>
      <c r="K305" s="233" t="s">
        <v>215</v>
      </c>
      <c r="L305" s="233" t="s">
        <v>209</v>
      </c>
      <c r="M305" s="233" t="s">
        <v>86</v>
      </c>
      <c r="N305" s="233" t="s">
        <v>714</v>
      </c>
      <c r="O305" s="233" t="s">
        <v>715</v>
      </c>
      <c r="P305" s="233" t="s">
        <v>582</v>
      </c>
      <c r="Q305" s="248" t="s">
        <v>716</v>
      </c>
      <c r="R305" s="233" t="s">
        <v>717</v>
      </c>
      <c r="S305" s="233"/>
      <c r="T305" s="233" t="s">
        <v>718</v>
      </c>
      <c r="U305" s="233" t="s">
        <v>712</v>
      </c>
    </row>
    <row r="306" spans="2:21">
      <c r="B306" s="231">
        <v>37</v>
      </c>
      <c r="C306" s="231">
        <v>31</v>
      </c>
      <c r="D306" s="231">
        <v>401</v>
      </c>
      <c r="E306" t="s">
        <v>974</v>
      </c>
      <c r="F306" t="s">
        <v>911</v>
      </c>
      <c r="G306" s="232" t="s">
        <v>171</v>
      </c>
      <c r="H306" s="231" t="s">
        <v>489</v>
      </c>
      <c r="I306" s="231">
        <v>31</v>
      </c>
      <c r="J306" s="233" t="s">
        <v>140</v>
      </c>
      <c r="K306" s="233" t="s">
        <v>160</v>
      </c>
      <c r="L306" s="233" t="s">
        <v>173</v>
      </c>
      <c r="M306" s="233" t="s">
        <v>124</v>
      </c>
      <c r="N306" s="233" t="s">
        <v>719</v>
      </c>
      <c r="O306" s="233" t="s">
        <v>221</v>
      </c>
      <c r="P306" s="233" t="s">
        <v>110</v>
      </c>
      <c r="Q306" s="248" t="s">
        <v>720</v>
      </c>
      <c r="R306" s="233" t="s">
        <v>721</v>
      </c>
      <c r="S306" s="233"/>
      <c r="T306" s="233" t="s">
        <v>722</v>
      </c>
      <c r="U306" s="233" t="s">
        <v>712</v>
      </c>
    </row>
    <row r="307" spans="2:21">
      <c r="B307" s="231">
        <v>38</v>
      </c>
      <c r="C307" s="231">
        <v>32</v>
      </c>
      <c r="D307" s="231">
        <v>444</v>
      </c>
      <c r="E307" t="s">
        <v>975</v>
      </c>
      <c r="F307" t="s">
        <v>911</v>
      </c>
      <c r="G307" s="232" t="s">
        <v>383</v>
      </c>
      <c r="H307" s="231" t="s">
        <v>489</v>
      </c>
      <c r="I307" s="231">
        <v>32</v>
      </c>
      <c r="J307" s="233" t="s">
        <v>66</v>
      </c>
      <c r="K307" s="233" t="s">
        <v>723</v>
      </c>
      <c r="L307" s="233" t="s">
        <v>724</v>
      </c>
      <c r="M307" s="233" t="s">
        <v>725</v>
      </c>
      <c r="N307" s="233" t="s">
        <v>152</v>
      </c>
      <c r="O307" s="233" t="s">
        <v>726</v>
      </c>
      <c r="P307" s="233" t="s">
        <v>208</v>
      </c>
      <c r="Q307" s="248" t="s">
        <v>727</v>
      </c>
      <c r="R307" s="233" t="s">
        <v>728</v>
      </c>
      <c r="S307" s="233"/>
      <c r="T307" s="233" t="s">
        <v>722</v>
      </c>
      <c r="U307" s="233" t="s">
        <v>712</v>
      </c>
    </row>
    <row r="308" spans="2:21">
      <c r="B308" s="231">
        <v>39</v>
      </c>
      <c r="C308" s="231">
        <v>33</v>
      </c>
      <c r="D308" s="231">
        <v>455</v>
      </c>
      <c r="E308" t="s">
        <v>976</v>
      </c>
      <c r="F308" t="s">
        <v>911</v>
      </c>
      <c r="G308" s="232" t="s">
        <v>729</v>
      </c>
      <c r="H308" s="231" t="s">
        <v>489</v>
      </c>
      <c r="I308" s="231">
        <v>33</v>
      </c>
      <c r="J308" s="233" t="s">
        <v>197</v>
      </c>
      <c r="K308" s="233" t="s">
        <v>66</v>
      </c>
      <c r="L308" s="233" t="s">
        <v>730</v>
      </c>
      <c r="M308" s="233" t="s">
        <v>731</v>
      </c>
      <c r="N308" s="233" t="s">
        <v>732</v>
      </c>
      <c r="O308" s="233" t="s">
        <v>232</v>
      </c>
      <c r="P308" s="233" t="s">
        <v>175</v>
      </c>
      <c r="Q308" s="248" t="s">
        <v>733</v>
      </c>
      <c r="R308" s="233" t="s">
        <v>734</v>
      </c>
      <c r="S308" s="233"/>
      <c r="T308" s="233" t="s">
        <v>735</v>
      </c>
      <c r="U308" s="233" t="s">
        <v>736</v>
      </c>
    </row>
    <row r="309" spans="2:21">
      <c r="B309" s="231">
        <v>40</v>
      </c>
      <c r="C309" s="231">
        <v>34</v>
      </c>
      <c r="D309" s="231">
        <v>404</v>
      </c>
      <c r="E309" t="s">
        <v>977</v>
      </c>
      <c r="F309" t="s">
        <v>911</v>
      </c>
      <c r="G309" s="232" t="s">
        <v>737</v>
      </c>
      <c r="H309" s="231" t="s">
        <v>489</v>
      </c>
      <c r="I309" s="231">
        <v>34</v>
      </c>
      <c r="J309" s="233" t="s">
        <v>66</v>
      </c>
      <c r="K309" s="233" t="s">
        <v>738</v>
      </c>
      <c r="L309" s="233" t="s">
        <v>719</v>
      </c>
      <c r="M309" s="233" t="s">
        <v>739</v>
      </c>
      <c r="N309" s="233" t="s">
        <v>679</v>
      </c>
      <c r="O309" s="233" t="s">
        <v>211</v>
      </c>
      <c r="P309" s="233" t="s">
        <v>521</v>
      </c>
      <c r="Q309" s="248" t="s">
        <v>740</v>
      </c>
      <c r="R309" s="233" t="s">
        <v>741</v>
      </c>
      <c r="S309" s="233"/>
      <c r="T309" s="233" t="s">
        <v>742</v>
      </c>
      <c r="U309" s="233" t="s">
        <v>736</v>
      </c>
    </row>
    <row r="310" spans="2:21">
      <c r="B310" s="231">
        <v>41</v>
      </c>
      <c r="C310" s="231">
        <v>35</v>
      </c>
      <c r="D310" s="231">
        <v>431</v>
      </c>
      <c r="E310" t="s">
        <v>978</v>
      </c>
      <c r="F310" t="s">
        <v>911</v>
      </c>
      <c r="G310" s="232" t="s">
        <v>743</v>
      </c>
      <c r="H310" s="231" t="s">
        <v>489</v>
      </c>
      <c r="I310" s="231">
        <v>35</v>
      </c>
      <c r="J310" s="233" t="s">
        <v>184</v>
      </c>
      <c r="K310" s="233" t="s">
        <v>719</v>
      </c>
      <c r="L310" s="233" t="s">
        <v>744</v>
      </c>
      <c r="M310" s="233" t="s">
        <v>745</v>
      </c>
      <c r="N310" s="233" t="s">
        <v>746</v>
      </c>
      <c r="O310" s="233" t="s">
        <v>246</v>
      </c>
      <c r="P310" s="233" t="s">
        <v>138</v>
      </c>
      <c r="Q310" s="248" t="s">
        <v>747</v>
      </c>
      <c r="R310" s="233" t="s">
        <v>748</v>
      </c>
      <c r="S310" s="233"/>
      <c r="T310" s="233" t="s">
        <v>742</v>
      </c>
      <c r="U310" s="233" t="s">
        <v>736</v>
      </c>
    </row>
    <row r="311" spans="2:21">
      <c r="B311" s="231">
        <v>42</v>
      </c>
      <c r="C311" s="231">
        <v>36</v>
      </c>
      <c r="D311" s="231">
        <v>428</v>
      </c>
      <c r="E311" t="s">
        <v>979</v>
      </c>
      <c r="F311" t="s">
        <v>911</v>
      </c>
      <c r="G311" s="232" t="s">
        <v>749</v>
      </c>
      <c r="H311" s="231" t="s">
        <v>489</v>
      </c>
      <c r="I311" s="231">
        <v>36</v>
      </c>
      <c r="J311" s="233" t="s">
        <v>644</v>
      </c>
      <c r="K311" s="233" t="s">
        <v>719</v>
      </c>
      <c r="L311" s="233" t="s">
        <v>184</v>
      </c>
      <c r="M311" s="233" t="s">
        <v>595</v>
      </c>
      <c r="N311" s="233" t="s">
        <v>750</v>
      </c>
      <c r="O311" s="233" t="s">
        <v>751</v>
      </c>
      <c r="P311" s="233" t="s">
        <v>215</v>
      </c>
      <c r="Q311" s="248" t="s">
        <v>752</v>
      </c>
      <c r="R311" s="233" t="s">
        <v>753</v>
      </c>
      <c r="S311" s="233"/>
      <c r="T311" s="233" t="s">
        <v>754</v>
      </c>
      <c r="U311" s="233" t="s">
        <v>736</v>
      </c>
    </row>
    <row r="312" spans="2:21">
      <c r="B312" s="231">
        <v>43</v>
      </c>
      <c r="C312" s="231">
        <v>37</v>
      </c>
      <c r="D312" s="231">
        <v>433</v>
      </c>
      <c r="E312" t="s">
        <v>980</v>
      </c>
      <c r="F312" t="s">
        <v>911</v>
      </c>
      <c r="G312" s="232"/>
      <c r="H312" s="231" t="s">
        <v>489</v>
      </c>
      <c r="I312" s="231">
        <v>37</v>
      </c>
      <c r="J312" s="233" t="s">
        <v>76</v>
      </c>
      <c r="K312" s="233" t="s">
        <v>130</v>
      </c>
      <c r="L312" s="233" t="s">
        <v>707</v>
      </c>
      <c r="M312" s="233" t="s">
        <v>139</v>
      </c>
      <c r="N312" s="233" t="s">
        <v>165</v>
      </c>
      <c r="O312" s="233" t="s">
        <v>755</v>
      </c>
      <c r="P312" s="233" t="s">
        <v>756</v>
      </c>
      <c r="Q312" s="248" t="s">
        <v>757</v>
      </c>
      <c r="R312" s="233" t="s">
        <v>758</v>
      </c>
      <c r="S312" s="233"/>
      <c r="T312" s="233" t="s">
        <v>759</v>
      </c>
      <c r="U312" s="233" t="s">
        <v>760</v>
      </c>
    </row>
    <row r="313" spans="2:21">
      <c r="B313" s="231">
        <v>44</v>
      </c>
      <c r="C313" s="231">
        <v>38</v>
      </c>
      <c r="D313" s="231">
        <v>461</v>
      </c>
      <c r="E313" t="s">
        <v>981</v>
      </c>
      <c r="F313" t="s">
        <v>911</v>
      </c>
      <c r="G313" s="232" t="s">
        <v>761</v>
      </c>
      <c r="H313" s="231" t="s">
        <v>489</v>
      </c>
      <c r="I313" s="231">
        <v>38</v>
      </c>
      <c r="J313" s="233" t="s">
        <v>590</v>
      </c>
      <c r="K313" s="233" t="s">
        <v>590</v>
      </c>
      <c r="L313" s="233" t="s">
        <v>581</v>
      </c>
      <c r="M313" s="233" t="s">
        <v>762</v>
      </c>
      <c r="N313" s="233" t="s">
        <v>763</v>
      </c>
      <c r="O313" s="233" t="s">
        <v>200</v>
      </c>
      <c r="P313" s="233" t="s">
        <v>519</v>
      </c>
      <c r="Q313" s="248" t="s">
        <v>764</v>
      </c>
      <c r="R313" s="233" t="s">
        <v>765</v>
      </c>
      <c r="S313" s="233"/>
      <c r="T313" s="233" t="s">
        <v>766</v>
      </c>
      <c r="U313" s="233" t="s">
        <v>767</v>
      </c>
    </row>
    <row r="314" spans="2:21">
      <c r="B314" s="231">
        <v>45</v>
      </c>
      <c r="C314" s="231">
        <v>39</v>
      </c>
      <c r="D314" s="231">
        <v>418</v>
      </c>
      <c r="E314" t="s">
        <v>982</v>
      </c>
      <c r="F314" t="s">
        <v>911</v>
      </c>
      <c r="G314" s="239" t="s">
        <v>386</v>
      </c>
      <c r="H314" s="231" t="s">
        <v>489</v>
      </c>
      <c r="I314" s="231">
        <v>39</v>
      </c>
      <c r="J314" s="233" t="s">
        <v>763</v>
      </c>
      <c r="K314" s="233" t="s">
        <v>768</v>
      </c>
      <c r="L314" s="233" t="s">
        <v>769</v>
      </c>
      <c r="M314" s="233" t="s">
        <v>770</v>
      </c>
      <c r="N314" s="233" t="s">
        <v>174</v>
      </c>
      <c r="O314" s="233" t="s">
        <v>771</v>
      </c>
      <c r="P314" s="233" t="s">
        <v>85</v>
      </c>
      <c r="Q314" s="248" t="s">
        <v>772</v>
      </c>
      <c r="R314" s="233" t="s">
        <v>773</v>
      </c>
      <c r="S314" s="233"/>
      <c r="T314" s="233" t="s">
        <v>774</v>
      </c>
      <c r="U314" s="233" t="s">
        <v>775</v>
      </c>
    </row>
    <row r="315" spans="2:21">
      <c r="B315" s="231">
        <v>46</v>
      </c>
      <c r="C315" s="231">
        <v>40</v>
      </c>
      <c r="D315" s="231">
        <v>405</v>
      </c>
      <c r="E315" t="s">
        <v>983</v>
      </c>
      <c r="F315" t="s">
        <v>911</v>
      </c>
      <c r="G315" s="232" t="s">
        <v>776</v>
      </c>
      <c r="H315" s="231" t="s">
        <v>489</v>
      </c>
      <c r="I315" s="231">
        <v>40</v>
      </c>
      <c r="J315" s="233" t="s">
        <v>113</v>
      </c>
      <c r="K315" s="233" t="s">
        <v>615</v>
      </c>
      <c r="L315" s="233" t="s">
        <v>777</v>
      </c>
      <c r="M315" s="233" t="s">
        <v>142</v>
      </c>
      <c r="N315" s="233" t="s">
        <v>215</v>
      </c>
      <c r="O315" s="233" t="s">
        <v>259</v>
      </c>
      <c r="P315" s="233" t="s">
        <v>778</v>
      </c>
      <c r="Q315" s="248" t="s">
        <v>779</v>
      </c>
      <c r="R315" s="233" t="s">
        <v>780</v>
      </c>
      <c r="S315" s="233"/>
      <c r="T315" s="233" t="s">
        <v>781</v>
      </c>
      <c r="U315" s="233" t="s">
        <v>782</v>
      </c>
    </row>
    <row r="316" spans="2:21">
      <c r="B316" s="231">
        <v>47</v>
      </c>
      <c r="C316" s="231">
        <v>41</v>
      </c>
      <c r="D316" s="231">
        <v>410</v>
      </c>
      <c r="E316" t="s">
        <v>984</v>
      </c>
      <c r="F316" t="s">
        <v>911</v>
      </c>
      <c r="G316" s="232"/>
      <c r="H316" s="231" t="s">
        <v>489</v>
      </c>
      <c r="I316" s="231">
        <v>41</v>
      </c>
      <c r="J316" s="233" t="s">
        <v>706</v>
      </c>
      <c r="K316" s="233" t="s">
        <v>783</v>
      </c>
      <c r="L316" s="233" t="s">
        <v>715</v>
      </c>
      <c r="M316" s="233" t="s">
        <v>784</v>
      </c>
      <c r="N316" s="233" t="s">
        <v>57</v>
      </c>
      <c r="O316" s="233" t="s">
        <v>620</v>
      </c>
      <c r="P316" s="233" t="s">
        <v>635</v>
      </c>
      <c r="Q316" s="248" t="s">
        <v>785</v>
      </c>
      <c r="R316" s="233" t="s">
        <v>786</v>
      </c>
      <c r="S316" s="233"/>
      <c r="T316" s="233" t="s">
        <v>787</v>
      </c>
      <c r="U316" s="233" t="s">
        <v>782</v>
      </c>
    </row>
    <row r="317" spans="2:21">
      <c r="B317" s="231">
        <v>48</v>
      </c>
      <c r="C317" s="231">
        <v>42</v>
      </c>
      <c r="D317" s="231">
        <v>408</v>
      </c>
      <c r="E317" t="s">
        <v>985</v>
      </c>
      <c r="F317" t="s">
        <v>911</v>
      </c>
      <c r="G317" s="232" t="s">
        <v>788</v>
      </c>
      <c r="H317" s="231" t="s">
        <v>489</v>
      </c>
      <c r="I317" s="231">
        <v>42</v>
      </c>
      <c r="J317" s="233" t="s">
        <v>691</v>
      </c>
      <c r="K317" s="233" t="s">
        <v>789</v>
      </c>
      <c r="L317" s="233" t="s">
        <v>790</v>
      </c>
      <c r="M317" s="233" t="s">
        <v>581</v>
      </c>
      <c r="N317" s="233" t="s">
        <v>791</v>
      </c>
      <c r="O317" s="233" t="s">
        <v>792</v>
      </c>
      <c r="P317" s="233" t="s">
        <v>700</v>
      </c>
      <c r="Q317" s="248" t="s">
        <v>793</v>
      </c>
      <c r="R317" s="233" t="s">
        <v>794</v>
      </c>
      <c r="S317" s="233"/>
      <c r="T317" s="233" t="s">
        <v>795</v>
      </c>
      <c r="U317" s="233" t="s">
        <v>796</v>
      </c>
    </row>
    <row r="318" spans="2:21">
      <c r="B318" s="231">
        <v>49</v>
      </c>
      <c r="C318" s="231">
        <v>43</v>
      </c>
      <c r="D318" s="231">
        <v>453</v>
      </c>
      <c r="E318" t="s">
        <v>986</v>
      </c>
      <c r="F318" t="s">
        <v>911</v>
      </c>
      <c r="G318" s="232" t="s">
        <v>797</v>
      </c>
      <c r="H318" s="231" t="s">
        <v>489</v>
      </c>
      <c r="I318" s="231">
        <v>43</v>
      </c>
      <c r="J318" s="233" t="s">
        <v>529</v>
      </c>
      <c r="K318" s="233" t="s">
        <v>611</v>
      </c>
      <c r="L318" s="233" t="s">
        <v>222</v>
      </c>
      <c r="M318" s="233" t="s">
        <v>88</v>
      </c>
      <c r="N318" s="233" t="s">
        <v>798</v>
      </c>
      <c r="O318" s="233" t="s">
        <v>799</v>
      </c>
      <c r="P318" s="233" t="s">
        <v>350</v>
      </c>
      <c r="Q318" s="248" t="s">
        <v>800</v>
      </c>
      <c r="R318" s="233" t="s">
        <v>801</v>
      </c>
      <c r="S318" s="233"/>
      <c r="T318" s="233" t="s">
        <v>802</v>
      </c>
      <c r="U318" s="233" t="s">
        <v>796</v>
      </c>
    </row>
    <row r="319" spans="2:21">
      <c r="B319" s="261">
        <v>50</v>
      </c>
      <c r="C319" s="261">
        <v>44</v>
      </c>
      <c r="D319" s="261">
        <v>413</v>
      </c>
      <c r="E319" s="262" t="s">
        <v>987</v>
      </c>
      <c r="F319" s="126" t="s">
        <v>911</v>
      </c>
      <c r="G319" s="262" t="s">
        <v>803</v>
      </c>
      <c r="H319" s="261" t="s">
        <v>489</v>
      </c>
      <c r="I319" s="261">
        <v>44</v>
      </c>
      <c r="J319" s="260" t="s">
        <v>674</v>
      </c>
      <c r="K319" s="260" t="s">
        <v>804</v>
      </c>
      <c r="L319" s="260" t="s">
        <v>581</v>
      </c>
      <c r="M319" s="260" t="s">
        <v>805</v>
      </c>
      <c r="N319" s="260" t="s">
        <v>159</v>
      </c>
      <c r="O319" s="260" t="s">
        <v>806</v>
      </c>
      <c r="P319" s="260" t="s">
        <v>535</v>
      </c>
      <c r="Q319" s="248" t="s">
        <v>807</v>
      </c>
      <c r="R319" s="260" t="s">
        <v>808</v>
      </c>
      <c r="S319" s="260"/>
      <c r="T319" s="260" t="s">
        <v>809</v>
      </c>
      <c r="U319" s="260" t="s">
        <v>810</v>
      </c>
    </row>
    <row r="320" spans="2:21">
      <c r="B320" s="231">
        <v>51</v>
      </c>
      <c r="C320" s="231">
        <v>45</v>
      </c>
      <c r="D320" s="231">
        <v>436</v>
      </c>
      <c r="E320" t="s">
        <v>988</v>
      </c>
      <c r="F320" t="s">
        <v>911</v>
      </c>
      <c r="G320" s="232"/>
      <c r="H320" s="231" t="s">
        <v>489</v>
      </c>
      <c r="I320" s="231">
        <v>45</v>
      </c>
      <c r="J320" s="233" t="s">
        <v>811</v>
      </c>
      <c r="K320" s="233" t="s">
        <v>812</v>
      </c>
      <c r="L320" s="233" t="s">
        <v>813</v>
      </c>
      <c r="M320" s="233" t="s">
        <v>814</v>
      </c>
      <c r="N320" s="233" t="s">
        <v>815</v>
      </c>
      <c r="O320" s="233" t="s">
        <v>816</v>
      </c>
      <c r="P320" s="233" t="s">
        <v>182</v>
      </c>
      <c r="Q320" s="248" t="s">
        <v>817</v>
      </c>
      <c r="R320" s="233" t="s">
        <v>818</v>
      </c>
      <c r="S320" s="233"/>
      <c r="T320" s="233" t="s">
        <v>809</v>
      </c>
      <c r="U320" s="233" t="s">
        <v>810</v>
      </c>
    </row>
    <row r="321" spans="2:21">
      <c r="B321" s="231">
        <v>52</v>
      </c>
      <c r="C321" s="231">
        <v>46</v>
      </c>
      <c r="D321" s="231">
        <v>452</v>
      </c>
      <c r="E321" t="s">
        <v>989</v>
      </c>
      <c r="F321" t="s">
        <v>911</v>
      </c>
      <c r="G321" s="232" t="s">
        <v>819</v>
      </c>
      <c r="H321" s="231" t="s">
        <v>489</v>
      </c>
      <c r="I321" s="231">
        <v>46</v>
      </c>
      <c r="J321" s="233" t="s">
        <v>820</v>
      </c>
      <c r="K321" s="233" t="s">
        <v>821</v>
      </c>
      <c r="L321" s="233" t="s">
        <v>88</v>
      </c>
      <c r="M321" s="233" t="s">
        <v>141</v>
      </c>
      <c r="N321" s="233" t="s">
        <v>822</v>
      </c>
      <c r="O321" s="233" t="s">
        <v>813</v>
      </c>
      <c r="P321" s="233" t="s">
        <v>823</v>
      </c>
      <c r="Q321" s="248" t="s">
        <v>824</v>
      </c>
      <c r="R321" s="233" t="s">
        <v>825</v>
      </c>
      <c r="S321" s="233"/>
      <c r="T321" s="233" t="s">
        <v>826</v>
      </c>
      <c r="U321" s="233" t="s">
        <v>827</v>
      </c>
    </row>
    <row r="322" spans="2:21">
      <c r="B322" s="231">
        <v>53</v>
      </c>
      <c r="C322" s="231">
        <v>47</v>
      </c>
      <c r="D322" s="231">
        <v>421</v>
      </c>
      <c r="E322" t="s">
        <v>990</v>
      </c>
      <c r="F322" t="s">
        <v>911</v>
      </c>
      <c r="G322" s="232" t="s">
        <v>828</v>
      </c>
      <c r="H322" s="231" t="s">
        <v>489</v>
      </c>
      <c r="I322" s="231">
        <v>47</v>
      </c>
      <c r="J322" s="233" t="s">
        <v>254</v>
      </c>
      <c r="K322" s="233" t="s">
        <v>241</v>
      </c>
      <c r="L322" s="233" t="s">
        <v>637</v>
      </c>
      <c r="M322" s="233" t="s">
        <v>829</v>
      </c>
      <c r="N322" s="233" t="s">
        <v>830</v>
      </c>
      <c r="O322" s="233" t="s">
        <v>202</v>
      </c>
      <c r="P322" s="233" t="s">
        <v>615</v>
      </c>
      <c r="Q322" s="248" t="s">
        <v>831</v>
      </c>
      <c r="R322" s="233" t="s">
        <v>832</v>
      </c>
      <c r="S322" s="233"/>
      <c r="T322" s="233" t="s">
        <v>826</v>
      </c>
      <c r="U322" s="233" t="s">
        <v>827</v>
      </c>
    </row>
    <row r="323" spans="2:21">
      <c r="B323" s="231">
        <v>54</v>
      </c>
      <c r="C323" s="231">
        <v>48</v>
      </c>
      <c r="D323" s="231">
        <v>420</v>
      </c>
      <c r="E323" t="s">
        <v>991</v>
      </c>
      <c r="F323" t="s">
        <v>911</v>
      </c>
      <c r="G323" s="232" t="s">
        <v>833</v>
      </c>
      <c r="H323" s="231" t="s">
        <v>489</v>
      </c>
      <c r="I323" s="231">
        <v>48</v>
      </c>
      <c r="J323" s="233" t="s">
        <v>185</v>
      </c>
      <c r="K323" s="233" t="s">
        <v>834</v>
      </c>
      <c r="L323" s="233" t="s">
        <v>835</v>
      </c>
      <c r="M323" s="233" t="s">
        <v>217</v>
      </c>
      <c r="N323" s="233" t="s">
        <v>836</v>
      </c>
      <c r="O323" s="233" t="s">
        <v>192</v>
      </c>
      <c r="P323" s="233" t="s">
        <v>837</v>
      </c>
      <c r="Q323" s="248" t="s">
        <v>838</v>
      </c>
      <c r="R323" s="233" t="s">
        <v>839</v>
      </c>
      <c r="S323" s="233"/>
      <c r="T323" s="233" t="s">
        <v>840</v>
      </c>
      <c r="U323" s="233" t="s">
        <v>827</v>
      </c>
    </row>
    <row r="324" spans="2:21">
      <c r="B324" s="231">
        <v>55</v>
      </c>
      <c r="C324" s="231">
        <v>49</v>
      </c>
      <c r="D324" s="231">
        <v>414</v>
      </c>
      <c r="E324" t="s">
        <v>992</v>
      </c>
      <c r="F324" t="s">
        <v>911</v>
      </c>
      <c r="G324" s="232"/>
      <c r="H324" s="231" t="s">
        <v>489</v>
      </c>
      <c r="I324" s="231">
        <v>49</v>
      </c>
      <c r="J324" s="233" t="s">
        <v>664</v>
      </c>
      <c r="K324" s="233" t="s">
        <v>841</v>
      </c>
      <c r="L324" s="233" t="s">
        <v>176</v>
      </c>
      <c r="M324" s="233" t="s">
        <v>842</v>
      </c>
      <c r="N324" s="233" t="s">
        <v>527</v>
      </c>
      <c r="O324" s="233" t="s">
        <v>843</v>
      </c>
      <c r="P324" s="233" t="s">
        <v>217</v>
      </c>
      <c r="Q324" s="248" t="s">
        <v>844</v>
      </c>
      <c r="R324" s="233" t="s">
        <v>845</v>
      </c>
      <c r="S324" s="233"/>
      <c r="T324" s="233" t="s">
        <v>846</v>
      </c>
      <c r="U324" s="233" t="s">
        <v>847</v>
      </c>
    </row>
    <row r="325" spans="2:21">
      <c r="B325" s="231">
        <v>56</v>
      </c>
      <c r="C325" s="231">
        <v>7</v>
      </c>
      <c r="D325" s="231">
        <v>505</v>
      </c>
      <c r="E325" t="s">
        <v>993</v>
      </c>
      <c r="F325" t="s">
        <v>911</v>
      </c>
      <c r="G325" s="232" t="s">
        <v>580</v>
      </c>
      <c r="H325" s="231" t="s">
        <v>518</v>
      </c>
      <c r="I325" s="231">
        <v>7</v>
      </c>
      <c r="J325" s="233" t="s">
        <v>848</v>
      </c>
      <c r="K325" s="233" t="s">
        <v>849</v>
      </c>
      <c r="L325" s="233" t="s">
        <v>668</v>
      </c>
      <c r="M325" s="233" t="s">
        <v>261</v>
      </c>
      <c r="N325" s="233" t="s">
        <v>665</v>
      </c>
      <c r="O325" s="233" t="s">
        <v>850</v>
      </c>
      <c r="P325" s="233" t="s">
        <v>851</v>
      </c>
      <c r="Q325" s="248" t="s">
        <v>852</v>
      </c>
      <c r="R325" s="233" t="s">
        <v>853</v>
      </c>
      <c r="S325" s="233"/>
      <c r="T325" s="233" t="s">
        <v>854</v>
      </c>
      <c r="U325" s="233" t="s">
        <v>855</v>
      </c>
    </row>
    <row r="326" spans="2:21">
      <c r="B326" s="234">
        <v>57</v>
      </c>
      <c r="C326" s="234">
        <v>50</v>
      </c>
      <c r="D326" s="234">
        <v>434</v>
      </c>
      <c r="E326" s="348" t="s">
        <v>912</v>
      </c>
      <c r="F326" s="349" t="s">
        <v>911</v>
      </c>
      <c r="G326" s="348" t="s">
        <v>127</v>
      </c>
      <c r="H326" s="234" t="s">
        <v>489</v>
      </c>
      <c r="I326" s="234">
        <v>50</v>
      </c>
      <c r="J326" s="235" t="s">
        <v>856</v>
      </c>
      <c r="K326" s="235" t="s">
        <v>646</v>
      </c>
      <c r="L326" s="235" t="s">
        <v>829</v>
      </c>
      <c r="M326" s="235" t="s">
        <v>665</v>
      </c>
      <c r="N326" s="235" t="s">
        <v>857</v>
      </c>
      <c r="O326" s="350" t="s">
        <v>200</v>
      </c>
      <c r="P326" s="235" t="s">
        <v>661</v>
      </c>
      <c r="Q326" s="248" t="s">
        <v>858</v>
      </c>
      <c r="R326" s="235" t="s">
        <v>859</v>
      </c>
      <c r="S326" s="235"/>
      <c r="T326" s="235" t="s">
        <v>524</v>
      </c>
      <c r="U326" s="235" t="s">
        <v>855</v>
      </c>
    </row>
    <row r="327" spans="2:21">
      <c r="B327" s="231">
        <v>58</v>
      </c>
      <c r="C327" s="231">
        <v>51</v>
      </c>
      <c r="D327" s="231">
        <v>423</v>
      </c>
      <c r="E327" t="s">
        <v>994</v>
      </c>
      <c r="F327" t="s">
        <v>911</v>
      </c>
      <c r="G327" s="232" t="s">
        <v>860</v>
      </c>
      <c r="H327" s="231" t="s">
        <v>489</v>
      </c>
      <c r="I327" s="231">
        <v>51</v>
      </c>
      <c r="J327" s="233" t="s">
        <v>191</v>
      </c>
      <c r="K327" s="233" t="s">
        <v>702</v>
      </c>
      <c r="L327" s="233" t="s">
        <v>784</v>
      </c>
      <c r="M327" s="233" t="s">
        <v>769</v>
      </c>
      <c r="N327" s="233" t="s">
        <v>861</v>
      </c>
      <c r="O327" s="233" t="s">
        <v>862</v>
      </c>
      <c r="P327" s="233" t="s">
        <v>863</v>
      </c>
      <c r="Q327" s="248" t="s">
        <v>864</v>
      </c>
      <c r="R327" s="233" t="s">
        <v>865</v>
      </c>
      <c r="S327" s="233"/>
      <c r="T327" s="233" t="s">
        <v>866</v>
      </c>
      <c r="U327" s="233" t="s">
        <v>867</v>
      </c>
    </row>
    <row r="328" spans="2:21">
      <c r="B328" s="231">
        <v>59</v>
      </c>
      <c r="C328" s="231">
        <v>52</v>
      </c>
      <c r="D328" s="231">
        <v>426</v>
      </c>
      <c r="E328" t="s">
        <v>995</v>
      </c>
      <c r="F328" t="s">
        <v>911</v>
      </c>
      <c r="G328" s="232" t="s">
        <v>868</v>
      </c>
      <c r="H328" s="231" t="s">
        <v>489</v>
      </c>
      <c r="I328" s="231">
        <v>52</v>
      </c>
      <c r="J328" s="233" t="s">
        <v>869</v>
      </c>
      <c r="K328" s="233" t="s">
        <v>870</v>
      </c>
      <c r="L328" s="233" t="s">
        <v>871</v>
      </c>
      <c r="M328" s="233" t="s">
        <v>872</v>
      </c>
      <c r="N328" s="233" t="s">
        <v>873</v>
      </c>
      <c r="O328" s="233" t="s">
        <v>812</v>
      </c>
      <c r="P328" s="233" t="s">
        <v>874</v>
      </c>
      <c r="Q328" s="248" t="s">
        <v>875</v>
      </c>
      <c r="R328" s="233" t="s">
        <v>876</v>
      </c>
      <c r="S328" s="233"/>
      <c r="T328" s="233" t="s">
        <v>877</v>
      </c>
      <c r="U328" s="233" t="s">
        <v>867</v>
      </c>
    </row>
    <row r="329" spans="2:21">
      <c r="B329" s="231">
        <v>60</v>
      </c>
      <c r="C329" s="231">
        <v>53</v>
      </c>
      <c r="D329" s="231">
        <v>411</v>
      </c>
      <c r="E329" t="s">
        <v>996</v>
      </c>
      <c r="F329" t="s">
        <v>911</v>
      </c>
      <c r="G329" s="232"/>
      <c r="H329" s="231" t="s">
        <v>489</v>
      </c>
      <c r="I329" s="231">
        <v>53</v>
      </c>
      <c r="J329" s="233" t="s">
        <v>878</v>
      </c>
      <c r="K329" s="233" t="s">
        <v>879</v>
      </c>
      <c r="L329" s="233" t="s">
        <v>880</v>
      </c>
      <c r="M329" s="233" t="s">
        <v>636</v>
      </c>
      <c r="N329" s="233" t="s">
        <v>857</v>
      </c>
      <c r="O329" s="233" t="s">
        <v>723</v>
      </c>
      <c r="P329" s="233" t="s">
        <v>221</v>
      </c>
      <c r="Q329" s="248" t="s">
        <v>881</v>
      </c>
      <c r="R329" s="233" t="s">
        <v>882</v>
      </c>
      <c r="S329" s="233"/>
      <c r="T329" s="233" t="s">
        <v>883</v>
      </c>
      <c r="U329" s="233" t="s">
        <v>867</v>
      </c>
    </row>
    <row r="330" spans="2:21">
      <c r="B330" s="231">
        <v>61</v>
      </c>
      <c r="C330" s="231">
        <v>54</v>
      </c>
      <c r="D330" s="231">
        <v>425</v>
      </c>
      <c r="E330" t="s">
        <v>997</v>
      </c>
      <c r="F330" t="s">
        <v>911</v>
      </c>
      <c r="G330" s="232" t="s">
        <v>884</v>
      </c>
      <c r="H330" s="231" t="s">
        <v>489</v>
      </c>
      <c r="I330" s="231">
        <v>54</v>
      </c>
      <c r="J330" s="233" t="s">
        <v>885</v>
      </c>
      <c r="K330" s="233" t="s">
        <v>872</v>
      </c>
      <c r="L330" s="233" t="s">
        <v>886</v>
      </c>
      <c r="M330" s="233" t="s">
        <v>887</v>
      </c>
      <c r="N330" s="233" t="s">
        <v>862</v>
      </c>
      <c r="O330" s="233" t="s">
        <v>646</v>
      </c>
      <c r="P330" s="233" t="s">
        <v>612</v>
      </c>
      <c r="Q330" s="248" t="s">
        <v>888</v>
      </c>
      <c r="R330" s="233" t="s">
        <v>889</v>
      </c>
      <c r="S330" s="233"/>
      <c r="T330" s="233" t="s">
        <v>890</v>
      </c>
      <c r="U330" s="233" t="s">
        <v>891</v>
      </c>
    </row>
    <row r="331" spans="2:21">
      <c r="B331" s="231">
        <v>62</v>
      </c>
      <c r="C331" s="231">
        <v>55</v>
      </c>
      <c r="D331" s="231">
        <v>451</v>
      </c>
      <c r="E331" t="s">
        <v>998</v>
      </c>
      <c r="F331" t="s">
        <v>911</v>
      </c>
      <c r="G331" s="232" t="s">
        <v>892</v>
      </c>
      <c r="H331" s="231" t="s">
        <v>489</v>
      </c>
      <c r="I331" s="231">
        <v>55</v>
      </c>
      <c r="J331" s="233" t="s">
        <v>893</v>
      </c>
      <c r="K331" s="233" t="s">
        <v>894</v>
      </c>
      <c r="L331" s="233" t="s">
        <v>895</v>
      </c>
      <c r="M331" s="233" t="s">
        <v>842</v>
      </c>
      <c r="N331" s="233" t="s">
        <v>174</v>
      </c>
      <c r="O331" s="233" t="s">
        <v>636</v>
      </c>
      <c r="P331" s="233" t="s">
        <v>159</v>
      </c>
      <c r="Q331" s="248" t="s">
        <v>896</v>
      </c>
      <c r="R331" s="233" t="s">
        <v>897</v>
      </c>
      <c r="S331" s="233"/>
      <c r="T331" s="233" t="s">
        <v>898</v>
      </c>
      <c r="U331" s="233" t="s">
        <v>899</v>
      </c>
    </row>
    <row r="332" spans="2:21">
      <c r="B332" s="231">
        <v>63</v>
      </c>
      <c r="C332" s="231">
        <v>56</v>
      </c>
      <c r="D332" s="231">
        <v>429</v>
      </c>
      <c r="E332" t="s">
        <v>999</v>
      </c>
      <c r="F332" t="s">
        <v>911</v>
      </c>
      <c r="G332" s="232" t="s">
        <v>900</v>
      </c>
      <c r="H332" s="231" t="s">
        <v>489</v>
      </c>
      <c r="I332" s="231">
        <v>56</v>
      </c>
      <c r="J332" s="233" t="s">
        <v>247</v>
      </c>
      <c r="K332" s="233" t="s">
        <v>901</v>
      </c>
      <c r="L332" s="233" t="s">
        <v>902</v>
      </c>
      <c r="M332" s="233" t="s">
        <v>903</v>
      </c>
      <c r="N332" s="233" t="s">
        <v>904</v>
      </c>
      <c r="O332" s="233" t="s">
        <v>905</v>
      </c>
      <c r="P332" s="233" t="s">
        <v>906</v>
      </c>
      <c r="Q332" s="248" t="s">
        <v>907</v>
      </c>
      <c r="R332" s="233" t="s">
        <v>908</v>
      </c>
      <c r="S332" s="233"/>
      <c r="T332" s="233" t="s">
        <v>909</v>
      </c>
      <c r="U332" s="233" t="s">
        <v>910</v>
      </c>
    </row>
    <row r="333" spans="2:21">
      <c r="B333" s="236" t="s">
        <v>0</v>
      </c>
      <c r="C333" s="236" t="s">
        <v>482</v>
      </c>
      <c r="D333" s="236" t="s">
        <v>1</v>
      </c>
      <c r="E333" s="237" t="s">
        <v>926</v>
      </c>
      <c r="F333" s="243" t="s">
        <v>911</v>
      </c>
      <c r="G333" s="237" t="s">
        <v>3</v>
      </c>
      <c r="H333" s="236" t="s">
        <v>483</v>
      </c>
      <c r="I333" s="238" t="s">
        <v>484</v>
      </c>
      <c r="J333" s="238" t="s">
        <v>5</v>
      </c>
      <c r="K333" s="238" t="s">
        <v>6</v>
      </c>
      <c r="L333" s="238" t="s">
        <v>7</v>
      </c>
      <c r="M333" s="238" t="s">
        <v>8</v>
      </c>
      <c r="N333" s="238" t="s">
        <v>9</v>
      </c>
      <c r="O333" s="238" t="s">
        <v>10</v>
      </c>
      <c r="P333" s="238" t="s">
        <v>11</v>
      </c>
      <c r="Q333" s="248" t="s">
        <v>485</v>
      </c>
      <c r="R333" s="238" t="s">
        <v>486</v>
      </c>
      <c r="S333" s="238"/>
      <c r="T333" s="238" t="s">
        <v>487</v>
      </c>
      <c r="U333" s="238" t="s">
        <v>488</v>
      </c>
    </row>
    <row r="334" spans="2:21">
      <c r="B334" s="251"/>
      <c r="C334" s="251"/>
      <c r="D334" s="251"/>
      <c r="E334" s="252"/>
      <c r="F334" s="157"/>
      <c r="G334" s="252"/>
      <c r="H334" s="251"/>
      <c r="I334" s="253"/>
      <c r="J334" s="253"/>
      <c r="K334" s="253"/>
      <c r="L334" s="253"/>
      <c r="M334" s="253"/>
      <c r="N334" s="253"/>
      <c r="O334" s="253"/>
      <c r="P334" s="253"/>
      <c r="Q334" s="248"/>
      <c r="R334" s="253"/>
      <c r="S334" s="253"/>
      <c r="T334" s="253"/>
      <c r="U334" s="253"/>
    </row>
    <row r="335" spans="2:21">
      <c r="H335"/>
      <c r="I335"/>
    </row>
    <row r="337" spans="2:15" ht="23.25">
      <c r="D337" s="20" t="s">
        <v>1033</v>
      </c>
      <c r="I337" s="307"/>
      <c r="J337" s="20" t="s">
        <v>312</v>
      </c>
      <c r="L337"/>
      <c r="M337"/>
      <c r="N337"/>
      <c r="O337"/>
    </row>
    <row r="338" spans="2:15" ht="23.25">
      <c r="D338" s="20"/>
      <c r="I338" s="307"/>
      <c r="J338" s="20"/>
      <c r="L338"/>
      <c r="M338"/>
      <c r="N338"/>
      <c r="O338"/>
    </row>
    <row r="339" spans="2:15">
      <c r="C339" s="370"/>
      <c r="D339" s="369" t="s">
        <v>0</v>
      </c>
      <c r="E339" s="12" t="s">
        <v>1</v>
      </c>
      <c r="F339" s="12"/>
      <c r="G339" s="12" t="s">
        <v>3</v>
      </c>
      <c r="H339" s="12" t="s">
        <v>5</v>
      </c>
      <c r="I339" s="308" t="s">
        <v>12</v>
      </c>
      <c r="J339" s="12" t="s">
        <v>1117</v>
      </c>
      <c r="K339" s="370"/>
      <c r="L339"/>
      <c r="M339"/>
      <c r="N339"/>
      <c r="O339"/>
    </row>
    <row r="340" spans="2:15">
      <c r="I340" s="307"/>
      <c r="J340" s="135"/>
      <c r="L340"/>
      <c r="M340"/>
      <c r="N340"/>
      <c r="O340"/>
    </row>
    <row r="341" spans="2:15">
      <c r="B341" s="144"/>
      <c r="C341" s="144"/>
      <c r="D341" s="363" t="s">
        <v>1045</v>
      </c>
      <c r="E341" s="363">
        <v>236</v>
      </c>
      <c r="F341" s="366" t="s">
        <v>1046</v>
      </c>
      <c r="G341" s="144"/>
      <c r="H341" s="183"/>
      <c r="I341" s="365">
        <v>5.6446759259259259E-2</v>
      </c>
      <c r="J341" s="363"/>
      <c r="K341" s="253"/>
      <c r="L341"/>
      <c r="M341"/>
      <c r="N341"/>
      <c r="O341"/>
    </row>
    <row r="342" spans="2:15">
      <c r="B342" s="144"/>
      <c r="C342" s="144"/>
      <c r="D342" s="363" t="s">
        <v>1047</v>
      </c>
      <c r="E342" s="363">
        <v>240</v>
      </c>
      <c r="F342" s="366" t="s">
        <v>1048</v>
      </c>
      <c r="G342" s="144"/>
      <c r="H342" s="183"/>
      <c r="I342" s="365">
        <v>6.1701388888888896E-2</v>
      </c>
      <c r="J342" s="367">
        <v>0.31527777777777777</v>
      </c>
      <c r="K342" s="253"/>
      <c r="L342"/>
      <c r="M342"/>
      <c r="N342"/>
      <c r="O342"/>
    </row>
    <row r="343" spans="2:15">
      <c r="B343" s="144"/>
      <c r="C343" s="144"/>
      <c r="D343" s="363" t="s">
        <v>1049</v>
      </c>
      <c r="E343" s="363">
        <v>216</v>
      </c>
      <c r="F343" s="366" t="s">
        <v>517</v>
      </c>
      <c r="G343" s="144"/>
      <c r="H343" s="183"/>
      <c r="I343" s="365">
        <v>6.232638888888889E-2</v>
      </c>
      <c r="J343" s="367">
        <v>0.3527777777777778</v>
      </c>
      <c r="K343" s="253"/>
      <c r="L343"/>
      <c r="M343"/>
      <c r="N343"/>
      <c r="O343"/>
    </row>
    <row r="344" spans="2:15">
      <c r="B344" s="144"/>
      <c r="C344" s="144"/>
      <c r="D344" s="363" t="s">
        <v>1050</v>
      </c>
      <c r="E344" s="363">
        <v>246</v>
      </c>
      <c r="F344" s="366" t="s">
        <v>1051</v>
      </c>
      <c r="G344" s="144"/>
      <c r="H344" s="183"/>
      <c r="I344" s="365">
        <v>6.2384259259259257E-2</v>
      </c>
      <c r="J344" s="367">
        <v>0.35625000000000001</v>
      </c>
      <c r="K344" s="253"/>
      <c r="L344"/>
      <c r="M344"/>
      <c r="N344"/>
      <c r="O344"/>
    </row>
    <row r="345" spans="2:15">
      <c r="B345" s="144"/>
      <c r="C345" s="144"/>
      <c r="D345" s="363" t="s">
        <v>1052</v>
      </c>
      <c r="E345" s="363">
        <v>231</v>
      </c>
      <c r="F345" s="366" t="s">
        <v>1048</v>
      </c>
      <c r="G345" s="144"/>
      <c r="H345" s="183"/>
      <c r="I345" s="365">
        <v>6.3981481481481486E-2</v>
      </c>
      <c r="J345" s="367">
        <v>0.45208333333333334</v>
      </c>
      <c r="K345" s="253"/>
      <c r="L345"/>
      <c r="M345"/>
      <c r="N345"/>
      <c r="O345"/>
    </row>
    <row r="346" spans="2:15">
      <c r="B346" s="144"/>
      <c r="C346" s="144"/>
      <c r="D346" s="363" t="s">
        <v>1053</v>
      </c>
      <c r="E346" s="363">
        <v>238</v>
      </c>
      <c r="F346" s="366" t="s">
        <v>1054</v>
      </c>
      <c r="G346" s="144"/>
      <c r="H346" s="183"/>
      <c r="I346" s="365">
        <v>6.4039351851851847E-2</v>
      </c>
      <c r="J346" s="367">
        <v>0.45555555555555555</v>
      </c>
      <c r="K346" s="253"/>
      <c r="L346"/>
      <c r="M346"/>
      <c r="N346"/>
      <c r="O346"/>
    </row>
    <row r="347" spans="2:15">
      <c r="B347" s="144"/>
      <c r="C347" s="144"/>
      <c r="D347" s="363" t="s">
        <v>1055</v>
      </c>
      <c r="E347" s="363">
        <v>212</v>
      </c>
      <c r="F347" s="366" t="s">
        <v>1056</v>
      </c>
      <c r="G347" s="144"/>
      <c r="H347" s="183"/>
      <c r="I347" s="365">
        <v>6.5590277777777775E-2</v>
      </c>
      <c r="J347" s="367">
        <v>0.54861111111111105</v>
      </c>
      <c r="K347" s="253"/>
      <c r="L347"/>
      <c r="M347"/>
      <c r="N347"/>
      <c r="O347"/>
    </row>
    <row r="348" spans="2:15">
      <c r="B348" s="144"/>
      <c r="C348" s="144"/>
      <c r="D348" s="363" t="s">
        <v>1057</v>
      </c>
      <c r="E348" s="363">
        <v>203</v>
      </c>
      <c r="F348" s="366" t="s">
        <v>1058</v>
      </c>
      <c r="G348" s="144"/>
      <c r="H348" s="183"/>
      <c r="I348" s="365">
        <v>6.6180555555555562E-2</v>
      </c>
      <c r="J348" s="367">
        <v>0.58402777777777781</v>
      </c>
      <c r="K348" s="253"/>
      <c r="L348"/>
      <c r="M348"/>
      <c r="N348"/>
      <c r="O348"/>
    </row>
    <row r="349" spans="2:15">
      <c r="B349" s="144"/>
      <c r="C349" s="144"/>
      <c r="D349" s="363" t="s">
        <v>1059</v>
      </c>
      <c r="E349" s="363">
        <v>202</v>
      </c>
      <c r="F349" s="366" t="s">
        <v>1060</v>
      </c>
      <c r="G349" s="144"/>
      <c r="H349" s="183"/>
      <c r="I349" s="365">
        <v>6.6655092592592599E-2</v>
      </c>
      <c r="J349" s="367">
        <v>0.61249999999999993</v>
      </c>
      <c r="K349" s="253"/>
      <c r="L349"/>
      <c r="M349"/>
      <c r="N349"/>
      <c r="O349"/>
    </row>
    <row r="350" spans="2:15">
      <c r="B350" s="144"/>
      <c r="C350" s="144"/>
      <c r="D350" s="363" t="s">
        <v>1061</v>
      </c>
      <c r="E350" s="363">
        <v>247</v>
      </c>
      <c r="F350" s="366" t="s">
        <v>1062</v>
      </c>
      <c r="G350" s="144"/>
      <c r="H350" s="183"/>
      <c r="I350" s="365">
        <v>6.6944444444444445E-2</v>
      </c>
      <c r="J350" s="367">
        <v>0.62986111111111109</v>
      </c>
      <c r="K350" s="253"/>
      <c r="L350"/>
      <c r="M350"/>
      <c r="N350"/>
      <c r="O350"/>
    </row>
    <row r="351" spans="2:15">
      <c r="B351" s="144"/>
      <c r="C351" s="144"/>
      <c r="D351" s="363" t="s">
        <v>1063</v>
      </c>
      <c r="E351" s="363">
        <v>217</v>
      </c>
      <c r="F351" s="366" t="s">
        <v>1064</v>
      </c>
      <c r="G351" s="144"/>
      <c r="H351" s="183"/>
      <c r="I351" s="365">
        <v>6.7581018518518512E-2</v>
      </c>
      <c r="J351" s="367">
        <v>0.66805555555555562</v>
      </c>
      <c r="K351" s="253"/>
      <c r="L351"/>
      <c r="M351"/>
      <c r="N351"/>
      <c r="O351"/>
    </row>
    <row r="352" spans="2:15">
      <c r="B352" s="144"/>
      <c r="C352" s="144"/>
      <c r="D352" s="363" t="s">
        <v>1065</v>
      </c>
      <c r="E352" s="363">
        <v>206</v>
      </c>
      <c r="F352" s="366" t="s">
        <v>1066</v>
      </c>
      <c r="G352" s="144"/>
      <c r="H352" s="183"/>
      <c r="I352" s="365">
        <v>6.7962962962962961E-2</v>
      </c>
      <c r="J352" s="367">
        <v>0.69097222222222221</v>
      </c>
      <c r="K352" s="253"/>
      <c r="L352"/>
      <c r="M352"/>
      <c r="N352"/>
      <c r="O352"/>
    </row>
    <row r="353" spans="2:15">
      <c r="B353" s="144"/>
      <c r="C353" s="144"/>
      <c r="D353" s="363" t="s">
        <v>1067</v>
      </c>
      <c r="E353" s="363">
        <v>239</v>
      </c>
      <c r="F353" s="366"/>
      <c r="G353" s="144"/>
      <c r="H353" s="183"/>
      <c r="I353" s="365">
        <v>6.8263888888888888E-2</v>
      </c>
      <c r="J353" s="367">
        <v>0.7090277777777777</v>
      </c>
      <c r="K353" s="253"/>
      <c r="L353"/>
      <c r="M353"/>
      <c r="N353"/>
      <c r="O353"/>
    </row>
    <row r="354" spans="2:15">
      <c r="B354" s="144"/>
      <c r="C354" s="144"/>
      <c r="D354" s="363" t="s">
        <v>1068</v>
      </c>
      <c r="E354" s="363">
        <v>219</v>
      </c>
      <c r="F354" s="366" t="s">
        <v>1069</v>
      </c>
      <c r="G354" s="144"/>
      <c r="H354" s="183"/>
      <c r="I354" s="365">
        <v>6.8472222222222226E-2</v>
      </c>
      <c r="J354" s="367">
        <v>0.72152777777777777</v>
      </c>
      <c r="K354" s="253"/>
      <c r="L354"/>
      <c r="M354"/>
      <c r="N354"/>
      <c r="O354"/>
    </row>
    <row r="355" spans="2:15">
      <c r="B355" s="144"/>
      <c r="C355" s="144"/>
      <c r="D355" s="363" t="s">
        <v>1070</v>
      </c>
      <c r="E355" s="363">
        <v>232</v>
      </c>
      <c r="F355" s="366" t="s">
        <v>1071</v>
      </c>
      <c r="G355" s="144"/>
      <c r="H355" s="183"/>
      <c r="I355" s="365">
        <v>6.8483796296296293E-2</v>
      </c>
      <c r="J355" s="367">
        <v>0.72222222222222221</v>
      </c>
      <c r="K355" s="253"/>
      <c r="L355"/>
      <c r="M355"/>
      <c r="N355"/>
      <c r="O355"/>
    </row>
    <row r="356" spans="2:15">
      <c r="B356" s="144"/>
      <c r="C356" s="144"/>
      <c r="D356" s="363" t="s">
        <v>1072</v>
      </c>
      <c r="E356" s="363">
        <v>237</v>
      </c>
      <c r="F356" s="366" t="s">
        <v>567</v>
      </c>
      <c r="G356" s="144"/>
      <c r="H356" s="183"/>
      <c r="I356" s="365">
        <v>6.9560185185185183E-2</v>
      </c>
      <c r="J356" s="367">
        <v>0.78680555555555554</v>
      </c>
      <c r="K356" s="253"/>
      <c r="L356"/>
      <c r="M356"/>
      <c r="N356"/>
      <c r="O356"/>
    </row>
    <row r="357" spans="2:15">
      <c r="B357" s="144"/>
      <c r="C357" s="144"/>
      <c r="D357" s="363" t="s">
        <v>1073</v>
      </c>
      <c r="E357" s="363">
        <v>245</v>
      </c>
      <c r="F357" s="366" t="s">
        <v>1074</v>
      </c>
      <c r="G357" s="144"/>
      <c r="H357" s="183"/>
      <c r="I357" s="365">
        <v>6.9687499999999999E-2</v>
      </c>
      <c r="J357" s="367">
        <v>0.7944444444444444</v>
      </c>
      <c r="K357" s="253"/>
      <c r="L357"/>
      <c r="M357"/>
      <c r="N357"/>
      <c r="O357"/>
    </row>
    <row r="358" spans="2:15">
      <c r="B358" s="144"/>
      <c r="C358" s="144"/>
      <c r="D358" s="363" t="s">
        <v>1075</v>
      </c>
      <c r="E358" s="363">
        <v>201</v>
      </c>
      <c r="F358" s="366" t="s">
        <v>1048</v>
      </c>
      <c r="G358" s="144"/>
      <c r="H358" s="183"/>
      <c r="I358" s="365">
        <v>6.9942129629629632E-2</v>
      </c>
      <c r="J358" s="367">
        <v>0.80972222222222223</v>
      </c>
      <c r="K358" s="253"/>
      <c r="L358"/>
      <c r="M358"/>
      <c r="N358"/>
      <c r="O358"/>
    </row>
    <row r="359" spans="2:15">
      <c r="B359" s="144"/>
      <c r="C359" s="144"/>
      <c r="D359" s="363" t="s">
        <v>1076</v>
      </c>
      <c r="E359" s="363">
        <v>223</v>
      </c>
      <c r="F359" s="366" t="s">
        <v>1077</v>
      </c>
      <c r="G359" s="144"/>
      <c r="H359" s="183"/>
      <c r="I359" s="365">
        <v>7.0254629629629625E-2</v>
      </c>
      <c r="J359" s="367">
        <v>0.82847222222222217</v>
      </c>
      <c r="K359" s="253"/>
      <c r="L359"/>
      <c r="M359"/>
      <c r="N359"/>
      <c r="O359"/>
    </row>
    <row r="360" spans="2:15">
      <c r="B360" s="144"/>
      <c r="C360" s="144"/>
      <c r="D360" s="363" t="s">
        <v>1078</v>
      </c>
      <c r="E360" s="363">
        <v>248</v>
      </c>
      <c r="F360" s="366" t="s">
        <v>1079</v>
      </c>
      <c r="G360" s="144"/>
      <c r="H360" s="183"/>
      <c r="I360" s="365">
        <v>7.0509259259259258E-2</v>
      </c>
      <c r="J360" s="367">
        <v>0.84375</v>
      </c>
      <c r="K360" s="253"/>
      <c r="L360"/>
      <c r="M360"/>
      <c r="N360"/>
      <c r="O360"/>
    </row>
    <row r="361" spans="2:15">
      <c r="B361" s="144"/>
      <c r="C361" s="144"/>
      <c r="D361" s="363" t="s">
        <v>1080</v>
      </c>
      <c r="E361" s="363">
        <v>207</v>
      </c>
      <c r="F361" s="366" t="s">
        <v>788</v>
      </c>
      <c r="G361" s="144"/>
      <c r="H361" s="183"/>
      <c r="I361" s="365">
        <v>7.0613425925925913E-2</v>
      </c>
      <c r="J361" s="367">
        <v>0.85</v>
      </c>
      <c r="K361" s="253"/>
      <c r="L361"/>
      <c r="M361"/>
      <c r="N361"/>
      <c r="O361"/>
    </row>
    <row r="362" spans="2:15">
      <c r="B362" s="144"/>
      <c r="C362" s="144"/>
      <c r="D362" s="363" t="s">
        <v>1081</v>
      </c>
      <c r="E362" s="363">
        <v>224</v>
      </c>
      <c r="F362" s="366" t="s">
        <v>1082</v>
      </c>
      <c r="G362" s="144"/>
      <c r="H362" s="183"/>
      <c r="I362" s="365">
        <v>7.1087962962962964E-2</v>
      </c>
      <c r="J362" s="367">
        <v>0.87847222222222221</v>
      </c>
      <c r="K362" s="253"/>
      <c r="L362"/>
      <c r="M362"/>
      <c r="N362"/>
      <c r="O362"/>
    </row>
    <row r="363" spans="2:15">
      <c r="B363" s="371"/>
      <c r="C363" s="371"/>
      <c r="D363" s="375" t="s">
        <v>1083</v>
      </c>
      <c r="E363" s="375">
        <v>215</v>
      </c>
      <c r="F363" s="376" t="s">
        <v>127</v>
      </c>
      <c r="G363" s="377"/>
      <c r="H363" s="372"/>
      <c r="I363" s="401">
        <v>7.1562499999999987E-2</v>
      </c>
      <c r="J363" s="373">
        <v>0.90694444444444444</v>
      </c>
      <c r="K363" s="374"/>
      <c r="L363"/>
      <c r="M363"/>
      <c r="N363"/>
      <c r="O363"/>
    </row>
    <row r="364" spans="2:15">
      <c r="B364" s="144"/>
      <c r="C364" s="144"/>
      <c r="D364" s="363" t="s">
        <v>1084</v>
      </c>
      <c r="E364" s="363">
        <v>243</v>
      </c>
      <c r="F364" s="366" t="s">
        <v>649</v>
      </c>
      <c r="G364" s="144"/>
      <c r="H364" s="183"/>
      <c r="I364" s="365">
        <v>7.2199074074074068E-2</v>
      </c>
      <c r="J364" s="367">
        <v>0.94513888888888886</v>
      </c>
      <c r="K364" s="253"/>
      <c r="L364"/>
      <c r="M364"/>
      <c r="N364"/>
      <c r="O364"/>
    </row>
    <row r="365" spans="2:15">
      <c r="B365" s="144"/>
      <c r="C365" s="144"/>
      <c r="D365" s="363" t="s">
        <v>1085</v>
      </c>
      <c r="E365" s="363">
        <v>209</v>
      </c>
      <c r="F365" s="366" t="s">
        <v>1086</v>
      </c>
      <c r="G365" s="144"/>
      <c r="H365" s="183"/>
      <c r="I365" s="365">
        <v>7.3506944444444444E-2</v>
      </c>
      <c r="J365" s="368">
        <v>1.023611111111111</v>
      </c>
      <c r="K365" s="253"/>
      <c r="L365"/>
      <c r="M365"/>
      <c r="N365"/>
      <c r="O365"/>
    </row>
    <row r="366" spans="2:15">
      <c r="B366" s="144"/>
      <c r="C366" s="144"/>
      <c r="D366" s="363" t="s">
        <v>1087</v>
      </c>
      <c r="E366" s="363">
        <v>235</v>
      </c>
      <c r="F366" s="366"/>
      <c r="G366" s="144"/>
      <c r="H366" s="183"/>
      <c r="I366" s="365">
        <v>7.4050925925925923E-2</v>
      </c>
      <c r="J366" s="368">
        <v>1.0562500000000001</v>
      </c>
      <c r="K366" s="253"/>
      <c r="L366"/>
      <c r="M366"/>
      <c r="N366"/>
      <c r="O366"/>
    </row>
    <row r="367" spans="2:15">
      <c r="B367" s="144"/>
      <c r="C367" s="144"/>
      <c r="D367" s="363" t="s">
        <v>1088</v>
      </c>
      <c r="E367" s="363">
        <v>242</v>
      </c>
      <c r="F367" s="366" t="s">
        <v>713</v>
      </c>
      <c r="G367" s="144"/>
      <c r="H367" s="183"/>
      <c r="I367" s="365">
        <v>7.4224537037037033E-2</v>
      </c>
      <c r="J367" s="368">
        <v>1.0666666666666667</v>
      </c>
      <c r="K367" s="253"/>
      <c r="L367"/>
      <c r="M367"/>
      <c r="N367"/>
      <c r="O367"/>
    </row>
    <row r="368" spans="2:15">
      <c r="B368" s="144"/>
      <c r="C368" s="144"/>
      <c r="D368" s="363" t="s">
        <v>1089</v>
      </c>
      <c r="E368" s="363">
        <v>241</v>
      </c>
      <c r="F368" s="366" t="s">
        <v>1090</v>
      </c>
      <c r="G368" s="144"/>
      <c r="H368" s="183"/>
      <c r="I368" s="365">
        <v>7.4386574074074077E-2</v>
      </c>
      <c r="J368" s="368">
        <v>1.0763888888888888</v>
      </c>
      <c r="K368" s="253"/>
      <c r="L368"/>
      <c r="M368"/>
      <c r="N368"/>
      <c r="O368"/>
    </row>
    <row r="369" spans="2:15">
      <c r="B369" s="144"/>
      <c r="C369" s="144"/>
      <c r="D369" s="363" t="s">
        <v>1091</v>
      </c>
      <c r="E369" s="363">
        <v>225</v>
      </c>
      <c r="F369" s="366"/>
      <c r="G369" s="144"/>
      <c r="H369" s="183"/>
      <c r="I369" s="365">
        <v>7.5532407407407409E-2</v>
      </c>
      <c r="J369" s="368">
        <v>1.1451388888888889</v>
      </c>
      <c r="K369" s="253"/>
      <c r="L369"/>
      <c r="M369"/>
      <c r="N369"/>
      <c r="O369"/>
    </row>
    <row r="370" spans="2:15">
      <c r="B370" s="144"/>
      <c r="C370" s="144"/>
      <c r="D370" s="363" t="s">
        <v>1092</v>
      </c>
      <c r="E370" s="363">
        <v>218</v>
      </c>
      <c r="F370" s="366" t="s">
        <v>380</v>
      </c>
      <c r="G370" s="144"/>
      <c r="H370" s="183"/>
      <c r="I370" s="365">
        <v>7.6493055555555564E-2</v>
      </c>
      <c r="J370" s="368">
        <v>1.2027777777777777</v>
      </c>
      <c r="K370" s="253"/>
      <c r="L370"/>
      <c r="M370"/>
      <c r="N370"/>
      <c r="O370"/>
    </row>
    <row r="371" spans="2:15">
      <c r="B371" s="144"/>
      <c r="C371" s="144"/>
      <c r="D371" s="363" t="s">
        <v>1093</v>
      </c>
      <c r="E371" s="363">
        <v>244</v>
      </c>
      <c r="F371" s="366" t="s">
        <v>655</v>
      </c>
      <c r="G371" s="144"/>
      <c r="H371" s="183"/>
      <c r="I371" s="365">
        <v>7.7129629629629631E-2</v>
      </c>
      <c r="J371" s="368">
        <v>1.2409722222222224</v>
      </c>
      <c r="K371" s="253"/>
      <c r="L371"/>
      <c r="M371"/>
      <c r="N371"/>
      <c r="O371"/>
    </row>
    <row r="372" spans="2:15">
      <c r="B372" s="144"/>
      <c r="C372" s="144"/>
      <c r="D372" s="363" t="s">
        <v>1094</v>
      </c>
      <c r="E372" s="363">
        <v>220</v>
      </c>
      <c r="F372" s="366" t="s">
        <v>371</v>
      </c>
      <c r="G372" s="144"/>
      <c r="H372" s="183"/>
      <c r="I372" s="365">
        <v>7.7141203703703712E-2</v>
      </c>
      <c r="J372" s="368">
        <v>1.2416666666666667</v>
      </c>
      <c r="K372" s="253"/>
      <c r="L372"/>
      <c r="M372"/>
      <c r="N372"/>
      <c r="O372"/>
    </row>
    <row r="373" spans="2:15">
      <c r="B373" s="144"/>
      <c r="C373" s="144"/>
      <c r="D373" s="363" t="s">
        <v>1095</v>
      </c>
      <c r="E373" s="363">
        <v>233</v>
      </c>
      <c r="F373" s="366"/>
      <c r="G373" s="144"/>
      <c r="H373" s="183"/>
      <c r="I373" s="365">
        <v>7.7696759259259257E-2</v>
      </c>
      <c r="J373" s="368">
        <v>1.2750000000000001</v>
      </c>
      <c r="K373" s="253"/>
      <c r="L373"/>
      <c r="M373"/>
      <c r="N373"/>
      <c r="O373"/>
    </row>
    <row r="374" spans="2:15">
      <c r="B374" s="144"/>
      <c r="C374" s="144"/>
      <c r="D374" s="363" t="s">
        <v>1096</v>
      </c>
      <c r="E374" s="363">
        <v>214</v>
      </c>
      <c r="F374" s="366" t="s">
        <v>803</v>
      </c>
      <c r="G374" s="144"/>
      <c r="H374" s="183"/>
      <c r="I374" s="365">
        <v>7.8379629629629632E-2</v>
      </c>
      <c r="J374" s="368">
        <v>1.3159722222222221</v>
      </c>
      <c r="K374" s="253"/>
      <c r="L374"/>
      <c r="M374"/>
      <c r="N374"/>
      <c r="O374"/>
    </row>
    <row r="375" spans="2:15">
      <c r="B375" s="144"/>
      <c r="C375" s="144"/>
      <c r="D375" s="363" t="s">
        <v>1097</v>
      </c>
      <c r="E375" s="363">
        <v>228</v>
      </c>
      <c r="F375" s="366" t="s">
        <v>1098</v>
      </c>
      <c r="G375" s="144"/>
      <c r="H375" s="183"/>
      <c r="I375" s="365">
        <v>7.9895833333333333E-2</v>
      </c>
      <c r="J375" s="368">
        <v>1.4069444444444443</v>
      </c>
      <c r="K375" s="253"/>
      <c r="L375"/>
      <c r="M375"/>
      <c r="N375"/>
      <c r="O375"/>
    </row>
    <row r="376" spans="2:15">
      <c r="B376" s="144"/>
      <c r="C376" s="144"/>
      <c r="D376" s="363" t="s">
        <v>1099</v>
      </c>
      <c r="E376" s="363">
        <v>230</v>
      </c>
      <c r="F376" s="366"/>
      <c r="G376" s="144"/>
      <c r="H376" s="183"/>
      <c r="I376" s="365">
        <v>7.9942129629629641E-2</v>
      </c>
      <c r="J376" s="368">
        <v>1.4097222222222223</v>
      </c>
      <c r="K376" s="253"/>
      <c r="L376"/>
      <c r="M376"/>
      <c r="N376"/>
      <c r="O376"/>
    </row>
    <row r="377" spans="2:15">
      <c r="B377" s="144"/>
      <c r="C377" s="144"/>
      <c r="D377" s="363" t="s">
        <v>1100</v>
      </c>
      <c r="E377" s="363">
        <v>221</v>
      </c>
      <c r="F377" s="366" t="s">
        <v>1101</v>
      </c>
      <c r="G377" s="144"/>
      <c r="H377" s="183"/>
      <c r="I377" s="365">
        <v>7.9965277777777774E-2</v>
      </c>
      <c r="J377" s="368">
        <v>1.4111111111111112</v>
      </c>
      <c r="K377" s="253"/>
      <c r="L377"/>
      <c r="M377"/>
      <c r="N377"/>
      <c r="O377"/>
    </row>
    <row r="378" spans="2:15">
      <c r="B378" s="144"/>
      <c r="C378" s="144"/>
      <c r="D378" s="363" t="s">
        <v>1102</v>
      </c>
      <c r="E378" s="363">
        <v>234</v>
      </c>
      <c r="F378" s="366" t="s">
        <v>552</v>
      </c>
      <c r="G378" s="144"/>
      <c r="H378" s="183"/>
      <c r="I378" s="365">
        <v>8.038194444444445E-2</v>
      </c>
      <c r="J378" s="368">
        <v>1.4361111111111111</v>
      </c>
      <c r="K378" s="253"/>
      <c r="L378"/>
      <c r="M378"/>
      <c r="N378"/>
      <c r="O378"/>
    </row>
    <row r="379" spans="2:15">
      <c r="B379" s="144"/>
      <c r="C379" s="144"/>
      <c r="D379" s="363" t="s">
        <v>1103</v>
      </c>
      <c r="E379" s="363">
        <v>226</v>
      </c>
      <c r="F379" s="366" t="s">
        <v>1104</v>
      </c>
      <c r="G379" s="144"/>
      <c r="H379" s="183"/>
      <c r="I379" s="365">
        <v>8.0740740740740738E-2</v>
      </c>
      <c r="J379" s="368">
        <v>1.4576388888888889</v>
      </c>
      <c r="K379" s="253"/>
      <c r="L379"/>
      <c r="M379"/>
      <c r="N379"/>
      <c r="O379"/>
    </row>
    <row r="380" spans="2:15">
      <c r="B380" s="144"/>
      <c r="C380" s="144"/>
      <c r="D380" s="363" t="s">
        <v>1105</v>
      </c>
      <c r="E380" s="363">
        <v>249</v>
      </c>
      <c r="F380" s="366" t="s">
        <v>1106</v>
      </c>
      <c r="G380" s="144"/>
      <c r="H380" s="183"/>
      <c r="I380" s="365">
        <v>8.160879629629629E-2</v>
      </c>
      <c r="J380" s="368">
        <v>1.5097222222222222</v>
      </c>
      <c r="K380" s="253"/>
      <c r="L380"/>
      <c r="M380"/>
      <c r="N380"/>
      <c r="O380"/>
    </row>
    <row r="381" spans="2:15">
      <c r="B381" s="144"/>
      <c r="C381" s="144"/>
      <c r="D381" s="363" t="s">
        <v>1107</v>
      </c>
      <c r="E381" s="363">
        <v>204</v>
      </c>
      <c r="F381" s="366" t="s">
        <v>1108</v>
      </c>
      <c r="G381" s="144"/>
      <c r="H381" s="183"/>
      <c r="I381" s="365">
        <v>8.2916666666666666E-2</v>
      </c>
      <c r="J381" s="368">
        <v>1.5881944444444445</v>
      </c>
      <c r="K381" s="253"/>
      <c r="L381"/>
      <c r="M381"/>
      <c r="N381"/>
      <c r="O381"/>
    </row>
    <row r="382" spans="2:15">
      <c r="B382" s="144"/>
      <c r="C382" s="144"/>
      <c r="D382" s="363" t="s">
        <v>1109</v>
      </c>
      <c r="E382" s="363">
        <v>210</v>
      </c>
      <c r="F382" s="366" t="s">
        <v>1110</v>
      </c>
      <c r="G382" s="144"/>
      <c r="H382" s="183"/>
      <c r="I382" s="365">
        <v>8.3263888888888887E-2</v>
      </c>
      <c r="J382" s="368">
        <v>1.6090277777777777</v>
      </c>
      <c r="K382" s="253"/>
      <c r="L382"/>
      <c r="M382"/>
      <c r="N382"/>
      <c r="O382"/>
    </row>
    <row r="383" spans="2:15">
      <c r="B383" s="144"/>
      <c r="C383" s="144"/>
      <c r="D383" s="363" t="s">
        <v>1111</v>
      </c>
      <c r="E383" s="363">
        <v>222</v>
      </c>
      <c r="F383" s="366" t="s">
        <v>1112</v>
      </c>
      <c r="G383" s="144"/>
      <c r="H383" s="183"/>
      <c r="I383" s="365">
        <v>8.3888888888888888E-2</v>
      </c>
      <c r="J383" s="368">
        <v>1.6465277777777778</v>
      </c>
      <c r="K383" s="253"/>
      <c r="L383"/>
      <c r="M383"/>
      <c r="N383"/>
      <c r="O383"/>
    </row>
    <row r="384" spans="2:15">
      <c r="B384" s="144"/>
      <c r="C384" s="144"/>
      <c r="D384" s="363" t="s">
        <v>1113</v>
      </c>
      <c r="E384" s="363">
        <v>229</v>
      </c>
      <c r="F384" s="366"/>
      <c r="G384" s="144"/>
      <c r="H384" s="183"/>
      <c r="I384" s="365">
        <v>8.4849537037037029E-2</v>
      </c>
      <c r="J384" s="368">
        <v>1.7041666666666666</v>
      </c>
      <c r="K384" s="253"/>
      <c r="L384"/>
      <c r="M384"/>
      <c r="N384"/>
      <c r="O384"/>
    </row>
    <row r="385" spans="2:15">
      <c r="B385" s="144"/>
      <c r="C385" s="144"/>
      <c r="D385" s="363" t="s">
        <v>1114</v>
      </c>
      <c r="E385" s="363">
        <v>205</v>
      </c>
      <c r="F385" s="366"/>
      <c r="G385" s="144"/>
      <c r="H385" s="183"/>
      <c r="I385" s="365">
        <v>8.7071759259259252E-2</v>
      </c>
      <c r="J385" s="368">
        <v>1.8375000000000001</v>
      </c>
      <c r="K385" s="253"/>
      <c r="L385"/>
      <c r="M385"/>
      <c r="N385"/>
      <c r="O385"/>
    </row>
    <row r="386" spans="2:15">
      <c r="B386" s="144"/>
      <c r="C386" s="144"/>
      <c r="D386" s="363" t="s">
        <v>1115</v>
      </c>
      <c r="E386" s="363">
        <v>211</v>
      </c>
      <c r="F386" s="366" t="s">
        <v>1116</v>
      </c>
      <c r="G386" s="144"/>
      <c r="H386" s="183"/>
      <c r="I386" s="365">
        <v>8.7696759259259252E-2</v>
      </c>
      <c r="J386" s="368">
        <v>1.875</v>
      </c>
      <c r="K386" s="253"/>
      <c r="L386"/>
      <c r="M386"/>
      <c r="N386"/>
      <c r="O386"/>
    </row>
    <row r="387" spans="2:15">
      <c r="B387" s="144"/>
      <c r="C387" s="144"/>
      <c r="D387" s="363"/>
      <c r="E387" s="363"/>
      <c r="F387" s="168"/>
      <c r="G387" s="363"/>
      <c r="H387" s="364"/>
      <c r="I387" s="365"/>
      <c r="J387" s="253"/>
      <c r="K387" s="253"/>
      <c r="L387"/>
      <c r="M387"/>
      <c r="N387"/>
      <c r="O387"/>
    </row>
    <row r="388" spans="2:15">
      <c r="H388"/>
      <c r="I388"/>
      <c r="J388"/>
      <c r="K388"/>
      <c r="L388"/>
      <c r="M388"/>
      <c r="N388"/>
      <c r="O388"/>
    </row>
    <row r="389" spans="2:15" ht="23.25">
      <c r="D389" s="20" t="s">
        <v>1149</v>
      </c>
      <c r="I389" s="307"/>
      <c r="J389" s="20" t="s">
        <v>312</v>
      </c>
      <c r="L389"/>
      <c r="M389"/>
      <c r="N389"/>
      <c r="O389"/>
    </row>
    <row r="390" spans="2:15">
      <c r="H390"/>
      <c r="I390" s="249"/>
      <c r="J390"/>
      <c r="K390"/>
      <c r="L390"/>
      <c r="M390"/>
      <c r="N390"/>
      <c r="O390"/>
    </row>
    <row r="391" spans="2:15">
      <c r="C391" s="370"/>
      <c r="D391" s="369" t="s">
        <v>0</v>
      </c>
      <c r="E391" s="12" t="s">
        <v>1</v>
      </c>
      <c r="F391" s="12"/>
      <c r="G391" s="12" t="s">
        <v>3</v>
      </c>
      <c r="H391" s="12" t="s">
        <v>5</v>
      </c>
      <c r="I391" s="308" t="s">
        <v>12</v>
      </c>
      <c r="J391" s="12" t="s">
        <v>1117</v>
      </c>
      <c r="K391" s="370"/>
      <c r="L391"/>
      <c r="M391"/>
      <c r="N391"/>
      <c r="O391"/>
    </row>
    <row r="392" spans="2:15">
      <c r="D392" s="363" t="s">
        <v>1045</v>
      </c>
      <c r="E392" s="363">
        <v>200</v>
      </c>
      <c r="F392" s="393" t="s">
        <v>1133</v>
      </c>
      <c r="G392" s="144"/>
      <c r="I392" s="365">
        <v>4.6261574074074073E-2</v>
      </c>
      <c r="J392" s="183"/>
    </row>
    <row r="393" spans="2:15">
      <c r="D393" s="363" t="s">
        <v>1047</v>
      </c>
      <c r="E393" s="363">
        <v>201</v>
      </c>
      <c r="F393" s="393" t="s">
        <v>1134</v>
      </c>
      <c r="G393" s="144"/>
      <c r="I393" s="365">
        <v>5.7673611111111113E-2</v>
      </c>
      <c r="J393" s="402">
        <v>0.68472222222222223</v>
      </c>
    </row>
    <row r="394" spans="2:15">
      <c r="D394" s="363" t="s">
        <v>1049</v>
      </c>
      <c r="E394" s="363">
        <v>226</v>
      </c>
      <c r="F394" s="393"/>
      <c r="G394" s="144"/>
      <c r="I394" s="365">
        <v>5.8020833333333334E-2</v>
      </c>
      <c r="J394" s="402">
        <v>0.7055555555555556</v>
      </c>
    </row>
    <row r="395" spans="2:15">
      <c r="D395" s="363" t="s">
        <v>1050</v>
      </c>
      <c r="E395" s="363">
        <v>218</v>
      </c>
      <c r="F395" s="393" t="s">
        <v>358</v>
      </c>
      <c r="G395" s="144"/>
      <c r="I395" s="365">
        <v>5.8564814814814813E-2</v>
      </c>
      <c r="J395" s="402">
        <v>0.73819444444444438</v>
      </c>
    </row>
    <row r="396" spans="2:15">
      <c r="D396" s="363" t="s">
        <v>1052</v>
      </c>
      <c r="E396" s="363">
        <v>228</v>
      </c>
      <c r="F396" s="393"/>
      <c r="G396" s="144"/>
      <c r="I396" s="365">
        <v>5.9641203703703703E-2</v>
      </c>
      <c r="J396" s="402">
        <v>0.8027777777777777</v>
      </c>
    </row>
    <row r="397" spans="2:15">
      <c r="D397" s="363" t="s">
        <v>1053</v>
      </c>
      <c r="E397" s="363">
        <v>246</v>
      </c>
      <c r="F397" s="393" t="s">
        <v>526</v>
      </c>
      <c r="G397" s="144"/>
      <c r="I397" s="365">
        <v>6.0335648148148145E-2</v>
      </c>
      <c r="J397" s="402">
        <v>0.84444444444444444</v>
      </c>
    </row>
    <row r="398" spans="2:15">
      <c r="D398" s="363" t="s">
        <v>1055</v>
      </c>
      <c r="E398" s="363">
        <v>233</v>
      </c>
      <c r="F398" s="393"/>
      <c r="G398" s="144"/>
      <c r="I398" s="365">
        <v>6.2303240740740735E-2</v>
      </c>
      <c r="J398" s="402">
        <v>0.96250000000000002</v>
      </c>
    </row>
    <row r="399" spans="2:15">
      <c r="D399" s="363" t="s">
        <v>1057</v>
      </c>
      <c r="E399" s="363">
        <v>225</v>
      </c>
      <c r="F399" s="393"/>
      <c r="G399" s="144"/>
      <c r="I399" s="365">
        <v>6.491898148148148E-2</v>
      </c>
      <c r="J399" s="368">
        <v>1.1194444444444445</v>
      </c>
    </row>
    <row r="400" spans="2:15">
      <c r="D400" s="363" t="s">
        <v>1059</v>
      </c>
      <c r="E400" s="363">
        <v>203</v>
      </c>
      <c r="F400" s="393" t="s">
        <v>171</v>
      </c>
      <c r="G400" s="144"/>
      <c r="I400" s="365">
        <v>6.5462962962962959E-2</v>
      </c>
      <c r="J400" s="368">
        <v>1.1520833333333333</v>
      </c>
    </row>
    <row r="401" spans="2:11">
      <c r="D401" s="363" t="s">
        <v>1061</v>
      </c>
      <c r="E401" s="363">
        <v>202</v>
      </c>
      <c r="F401" s="393" t="s">
        <v>1135</v>
      </c>
      <c r="G401" s="144"/>
      <c r="I401" s="365">
        <v>6.5798611111111113E-2</v>
      </c>
      <c r="J401" s="368">
        <v>1.1722222222222223</v>
      </c>
    </row>
    <row r="402" spans="2:11">
      <c r="D402" s="363" t="s">
        <v>1063</v>
      </c>
      <c r="E402" s="363">
        <v>247</v>
      </c>
      <c r="F402" s="393" t="s">
        <v>1136</v>
      </c>
      <c r="G402" s="144"/>
      <c r="I402" s="365">
        <v>6.5833333333333341E-2</v>
      </c>
      <c r="J402" s="368">
        <v>1.1743055555555555</v>
      </c>
    </row>
    <row r="403" spans="2:11">
      <c r="D403" s="363" t="s">
        <v>1065</v>
      </c>
      <c r="E403" s="363">
        <v>207</v>
      </c>
      <c r="F403" s="393" t="s">
        <v>380</v>
      </c>
      <c r="G403" s="144"/>
      <c r="I403" s="365">
        <v>6.6608796296296291E-2</v>
      </c>
      <c r="J403" s="368">
        <v>1.2208333333333334</v>
      </c>
    </row>
    <row r="404" spans="2:11">
      <c r="D404" s="363" t="s">
        <v>1067</v>
      </c>
      <c r="E404" s="363">
        <v>274</v>
      </c>
      <c r="F404" s="393" t="s">
        <v>1137</v>
      </c>
      <c r="G404" s="144"/>
      <c r="I404" s="365">
        <v>6.7511574074074085E-2</v>
      </c>
      <c r="J404" s="368">
        <v>1.2750000000000001</v>
      </c>
    </row>
    <row r="405" spans="2:11">
      <c r="B405" s="371"/>
      <c r="C405" s="371"/>
      <c r="D405" s="397" t="s">
        <v>1068</v>
      </c>
      <c r="E405" s="397">
        <v>217</v>
      </c>
      <c r="F405" s="398" t="s">
        <v>127</v>
      </c>
      <c r="G405" s="399"/>
      <c r="H405" s="187"/>
      <c r="I405" s="401">
        <v>6.8113425925925938E-2</v>
      </c>
      <c r="J405" s="400">
        <v>1.3111111111111111</v>
      </c>
      <c r="K405" s="187"/>
    </row>
    <row r="406" spans="2:11">
      <c r="D406" s="363" t="s">
        <v>1070</v>
      </c>
      <c r="E406" s="363">
        <v>276</v>
      </c>
      <c r="F406" s="393" t="s">
        <v>1138</v>
      </c>
      <c r="G406" s="144"/>
      <c r="I406" s="365">
        <v>6.8113425925925938E-2</v>
      </c>
      <c r="J406" s="368">
        <v>1.3111111111111111</v>
      </c>
    </row>
    <row r="407" spans="2:11">
      <c r="D407" s="363" t="s">
        <v>1072</v>
      </c>
      <c r="E407" s="363">
        <v>277</v>
      </c>
      <c r="F407" s="393" t="s">
        <v>567</v>
      </c>
      <c r="G407" s="144"/>
      <c r="I407" s="365">
        <v>6.9363425925925926E-2</v>
      </c>
      <c r="J407" s="368">
        <v>1.3861111111111111</v>
      </c>
    </row>
    <row r="408" spans="2:11">
      <c r="D408" s="363" t="s">
        <v>1073</v>
      </c>
      <c r="E408" s="363">
        <v>209</v>
      </c>
      <c r="F408" s="393" t="s">
        <v>788</v>
      </c>
      <c r="G408" s="144"/>
      <c r="I408" s="365">
        <v>6.9594907407407411E-2</v>
      </c>
      <c r="J408" s="368">
        <v>1.4000000000000001</v>
      </c>
    </row>
    <row r="409" spans="2:11">
      <c r="D409" s="363" t="s">
        <v>1075</v>
      </c>
      <c r="E409" s="363">
        <v>275</v>
      </c>
      <c r="F409" s="393" t="s">
        <v>713</v>
      </c>
      <c r="G409" s="144"/>
      <c r="I409" s="365">
        <v>7.0532407407407405E-2</v>
      </c>
      <c r="J409" s="368">
        <v>1.45625</v>
      </c>
    </row>
    <row r="410" spans="2:11">
      <c r="D410" s="363" t="s">
        <v>1076</v>
      </c>
      <c r="E410" s="363">
        <v>204</v>
      </c>
      <c r="F410" s="393" t="s">
        <v>1139</v>
      </c>
      <c r="G410" s="144"/>
      <c r="I410" s="365">
        <v>7.2233796296296296E-2</v>
      </c>
      <c r="J410" s="368">
        <v>1.5583333333333333</v>
      </c>
    </row>
    <row r="411" spans="2:11">
      <c r="D411" s="363" t="s">
        <v>1078</v>
      </c>
      <c r="E411" s="363">
        <v>221</v>
      </c>
      <c r="F411" s="393" t="s">
        <v>1112</v>
      </c>
      <c r="G411" s="144"/>
      <c r="I411" s="365">
        <v>7.2303240740740737E-2</v>
      </c>
      <c r="J411" s="368">
        <v>1.5625</v>
      </c>
    </row>
    <row r="412" spans="2:11">
      <c r="D412" s="363" t="s">
        <v>1080</v>
      </c>
      <c r="E412" s="363">
        <v>210</v>
      </c>
      <c r="F412" s="393" t="s">
        <v>1140</v>
      </c>
      <c r="G412" s="144"/>
      <c r="I412" s="365">
        <v>7.2488425925925928E-2</v>
      </c>
      <c r="J412" s="368">
        <v>1.5736111111111111</v>
      </c>
    </row>
    <row r="413" spans="2:11">
      <c r="D413" s="363" t="s">
        <v>1081</v>
      </c>
      <c r="E413" s="363">
        <v>236</v>
      </c>
      <c r="F413" s="393"/>
      <c r="G413" s="144"/>
      <c r="I413" s="365">
        <v>7.2638888888888892E-2</v>
      </c>
      <c r="J413" s="368">
        <v>1.5826388888888889</v>
      </c>
    </row>
    <row r="414" spans="2:11">
      <c r="D414" s="363" t="s">
        <v>1083</v>
      </c>
      <c r="E414" s="363">
        <v>223</v>
      </c>
      <c r="F414" s="393"/>
      <c r="G414" s="144"/>
      <c r="I414" s="365">
        <v>7.3344907407407414E-2</v>
      </c>
      <c r="J414" s="368">
        <v>1.625</v>
      </c>
    </row>
    <row r="415" spans="2:11">
      <c r="D415" s="363" t="s">
        <v>1084</v>
      </c>
      <c r="E415" s="363">
        <v>235</v>
      </c>
      <c r="F415" s="393"/>
      <c r="G415" s="144"/>
      <c r="I415" s="365">
        <v>7.3969907407407401E-2</v>
      </c>
      <c r="J415" s="368">
        <v>1.6624999999999999</v>
      </c>
    </row>
    <row r="416" spans="2:11">
      <c r="D416" s="363" t="s">
        <v>1085</v>
      </c>
      <c r="E416" s="363">
        <v>215</v>
      </c>
      <c r="F416" s="393" t="s">
        <v>1141</v>
      </c>
      <c r="G416" s="144"/>
      <c r="I416" s="365">
        <v>7.4375000000000011E-2</v>
      </c>
      <c r="J416" s="368">
        <v>1.6868055555555557</v>
      </c>
    </row>
    <row r="417" spans="4:10">
      <c r="D417" s="363" t="s">
        <v>1087</v>
      </c>
      <c r="E417" s="363">
        <v>208</v>
      </c>
      <c r="F417" s="393" t="s">
        <v>1142</v>
      </c>
      <c r="G417" s="144"/>
      <c r="I417" s="365">
        <v>7.4780092592592592E-2</v>
      </c>
      <c r="J417" s="368">
        <v>1.7111111111111112</v>
      </c>
    </row>
    <row r="418" spans="4:10">
      <c r="D418" s="363" t="s">
        <v>1088</v>
      </c>
      <c r="E418" s="363">
        <v>212</v>
      </c>
      <c r="F418" s="393" t="s">
        <v>803</v>
      </c>
      <c r="G418" s="144"/>
      <c r="I418" s="365">
        <v>7.4930555555555556E-2</v>
      </c>
      <c r="J418" s="368">
        <v>1.7201388888888889</v>
      </c>
    </row>
    <row r="419" spans="4:10">
      <c r="D419" s="363" t="s">
        <v>1089</v>
      </c>
      <c r="E419" s="363">
        <v>272</v>
      </c>
      <c r="F419" s="393" t="s">
        <v>819</v>
      </c>
      <c r="G419" s="144"/>
      <c r="I419" s="365">
        <v>7.4999999999999997E-2</v>
      </c>
      <c r="J419" s="368">
        <v>1.7243055555555555</v>
      </c>
    </row>
    <row r="420" spans="4:10">
      <c r="D420" s="363" t="s">
        <v>1091</v>
      </c>
      <c r="E420" s="363">
        <v>222</v>
      </c>
      <c r="F420" s="393"/>
      <c r="G420" s="144"/>
      <c r="I420" s="365">
        <v>7.5775462962962961E-2</v>
      </c>
      <c r="J420" s="368">
        <v>1.7708333333333333</v>
      </c>
    </row>
    <row r="421" spans="4:10">
      <c r="D421" s="363" t="s">
        <v>1092</v>
      </c>
      <c r="E421" s="363">
        <v>206</v>
      </c>
      <c r="F421" s="393" t="s">
        <v>1143</v>
      </c>
      <c r="G421" s="144"/>
      <c r="I421" s="365">
        <v>7.6249999999999998E-2</v>
      </c>
      <c r="J421" s="368">
        <v>1.7993055555555555</v>
      </c>
    </row>
    <row r="422" spans="4:10">
      <c r="D422" s="363" t="s">
        <v>1093</v>
      </c>
      <c r="E422" s="363">
        <v>224</v>
      </c>
      <c r="F422" s="393"/>
      <c r="G422" s="144"/>
      <c r="I422" s="365">
        <v>7.6504629629629631E-2</v>
      </c>
      <c r="J422" s="368">
        <v>1.8145833333333332</v>
      </c>
    </row>
    <row r="423" spans="4:10">
      <c r="D423" s="363" t="s">
        <v>1094</v>
      </c>
      <c r="E423" s="363">
        <v>271</v>
      </c>
      <c r="F423" s="393" t="s">
        <v>649</v>
      </c>
      <c r="G423" s="144"/>
      <c r="I423" s="365">
        <v>7.6527777777777778E-2</v>
      </c>
      <c r="J423" s="368">
        <v>1.8159722222222223</v>
      </c>
    </row>
    <row r="424" spans="4:10">
      <c r="D424" s="363" t="s">
        <v>1095</v>
      </c>
      <c r="E424" s="363">
        <v>220</v>
      </c>
      <c r="F424" s="393" t="s">
        <v>1048</v>
      </c>
      <c r="G424" s="144"/>
      <c r="I424" s="365">
        <v>7.857638888888889E-2</v>
      </c>
      <c r="J424" s="368">
        <v>1.9388888888888889</v>
      </c>
    </row>
    <row r="425" spans="4:10">
      <c r="D425" s="394" t="s">
        <v>1096</v>
      </c>
      <c r="E425" s="394">
        <v>230</v>
      </c>
      <c r="F425" s="395"/>
      <c r="G425" s="144"/>
      <c r="I425" s="365">
        <v>7.8750000000000001E-2</v>
      </c>
      <c r="J425" s="396">
        <v>1.9493055555555554</v>
      </c>
    </row>
    <row r="426" spans="4:10">
      <c r="D426" s="363" t="s">
        <v>1097</v>
      </c>
      <c r="E426" s="363">
        <v>211</v>
      </c>
      <c r="F426" s="393" t="s">
        <v>1144</v>
      </c>
      <c r="G426" s="144"/>
      <c r="I426" s="365">
        <v>7.8784722222222228E-2</v>
      </c>
      <c r="J426" s="368">
        <v>1.9513888888888891</v>
      </c>
    </row>
    <row r="427" spans="4:10">
      <c r="D427" s="363" t="s">
        <v>1099</v>
      </c>
      <c r="E427" s="363">
        <v>229</v>
      </c>
      <c r="F427" s="393"/>
      <c r="G427" s="144"/>
      <c r="I427" s="365">
        <v>7.9224537037037038E-2</v>
      </c>
      <c r="J427" s="368">
        <v>1.9777777777777779</v>
      </c>
    </row>
    <row r="428" spans="4:10">
      <c r="D428" s="363" t="s">
        <v>1100</v>
      </c>
      <c r="E428" s="363">
        <v>213</v>
      </c>
      <c r="F428" s="393" t="s">
        <v>1145</v>
      </c>
      <c r="G428" s="144"/>
      <c r="I428" s="365">
        <v>7.9687500000000008E-2</v>
      </c>
      <c r="J428" s="368">
        <v>2.0055555555555555</v>
      </c>
    </row>
    <row r="429" spans="4:10">
      <c r="D429" s="363" t="s">
        <v>1102</v>
      </c>
      <c r="E429" s="363">
        <v>227</v>
      </c>
      <c r="F429" s="393"/>
      <c r="G429" s="144"/>
      <c r="I429" s="365">
        <v>7.993055555555556E-2</v>
      </c>
      <c r="J429" s="368">
        <v>2.0201388888888889</v>
      </c>
    </row>
    <row r="430" spans="4:10">
      <c r="D430" s="363" t="s">
        <v>1103</v>
      </c>
      <c r="E430" s="363">
        <v>273</v>
      </c>
      <c r="F430" s="393" t="s">
        <v>1146</v>
      </c>
      <c r="G430" s="144"/>
      <c r="I430" s="365">
        <v>8.1932870370370378E-2</v>
      </c>
      <c r="J430" s="368">
        <v>2.1402777777777779</v>
      </c>
    </row>
    <row r="431" spans="4:10">
      <c r="D431" s="363" t="s">
        <v>1105</v>
      </c>
      <c r="E431" s="363">
        <v>214</v>
      </c>
      <c r="F431" s="393" t="s">
        <v>386</v>
      </c>
      <c r="G431" s="144"/>
      <c r="I431" s="365">
        <v>8.2233796296296291E-2</v>
      </c>
      <c r="J431" s="368">
        <v>2.1583333333333332</v>
      </c>
    </row>
    <row r="432" spans="4:10">
      <c r="D432" s="363" t="s">
        <v>1107</v>
      </c>
      <c r="E432" s="363">
        <v>216</v>
      </c>
      <c r="F432" s="393" t="s">
        <v>371</v>
      </c>
      <c r="G432" s="144"/>
      <c r="I432" s="365">
        <v>8.324074074074074E-2</v>
      </c>
      <c r="J432" s="368">
        <v>2.21875</v>
      </c>
    </row>
    <row r="433" spans="4:10">
      <c r="D433" s="363" t="s">
        <v>1109</v>
      </c>
      <c r="E433" s="363">
        <v>205</v>
      </c>
      <c r="F433" s="393" t="s">
        <v>1147</v>
      </c>
      <c r="G433" s="144"/>
      <c r="I433" s="365">
        <v>8.335648148148149E-2</v>
      </c>
      <c r="J433" s="368">
        <v>2.2256944444444442</v>
      </c>
    </row>
    <row r="434" spans="4:10">
      <c r="D434" s="363" t="s">
        <v>1111</v>
      </c>
      <c r="E434" s="363">
        <v>245</v>
      </c>
      <c r="F434" s="393" t="s">
        <v>1148</v>
      </c>
      <c r="G434" s="144"/>
      <c r="I434" s="365">
        <v>8.3599537037037042E-2</v>
      </c>
      <c r="J434" s="368">
        <v>2.2402777777777776</v>
      </c>
    </row>
    <row r="435" spans="4:10">
      <c r="D435" s="363" t="s">
        <v>1113</v>
      </c>
      <c r="E435" s="363">
        <v>234</v>
      </c>
      <c r="F435" s="393"/>
      <c r="G435" s="144"/>
      <c r="I435" s="365">
        <v>8.4097222222222226E-2</v>
      </c>
      <c r="J435" s="368">
        <v>2.2701388888888889</v>
      </c>
    </row>
    <row r="436" spans="4:10">
      <c r="I436" s="249"/>
    </row>
  </sheetData>
  <pageMargins left="0" right="0" top="0" bottom="0" header="0.31496062992125984" footer="0.31496062992125984"/>
  <pageSetup paperSize="9" scale="90" orientation="landscape" r:id="rId1"/>
  <ignoredErrors>
    <ignoredError sqref="E158 G73 G65 G57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B1:O56"/>
  <sheetViews>
    <sheetView showGridLines="0" topLeftCell="A16" workbookViewId="0">
      <selection activeCell="C49" sqref="C49"/>
    </sheetView>
  </sheetViews>
  <sheetFormatPr defaultRowHeight="15"/>
  <cols>
    <col min="1" max="1" width="4.42578125" customWidth="1"/>
    <col min="2" max="2" width="7.5703125" customWidth="1"/>
    <col min="3" max="3" width="6.85546875" customWidth="1"/>
    <col min="4" max="4" width="23.5703125" customWidth="1"/>
    <col min="5" max="5" width="19.42578125" customWidth="1"/>
    <col min="7" max="7" width="9.42578125" style="16" customWidth="1"/>
    <col min="8" max="8" width="10" style="16" customWidth="1"/>
    <col min="9" max="9" width="9.5703125" style="16" bestFit="1" customWidth="1"/>
    <col min="10" max="10" width="9.28515625" style="16" customWidth="1"/>
    <col min="11" max="11" width="11.42578125" style="16" customWidth="1"/>
    <col min="12" max="12" width="9.7109375" style="16" customWidth="1"/>
    <col min="13" max="14" width="9.5703125" style="16" bestFit="1" customWidth="1"/>
    <col min="15" max="15" width="3.85546875" customWidth="1"/>
  </cols>
  <sheetData>
    <row r="1" spans="2:15" ht="10.5" customHeight="1"/>
    <row r="2" spans="2:15" ht="23.25">
      <c r="D2" s="20" t="s">
        <v>280</v>
      </c>
      <c r="J2" s="20" t="s">
        <v>312</v>
      </c>
    </row>
    <row r="3" spans="2:15" ht="4.5" customHeight="1"/>
    <row r="4" spans="2:15">
      <c r="B4" s="11" t="s">
        <v>0</v>
      </c>
      <c r="C4" s="12" t="s">
        <v>1</v>
      </c>
      <c r="D4" s="13" t="s">
        <v>2</v>
      </c>
      <c r="E4" s="13" t="s">
        <v>3</v>
      </c>
      <c r="F4" s="12" t="s">
        <v>4</v>
      </c>
      <c r="G4" s="12" t="s">
        <v>5</v>
      </c>
      <c r="H4" s="12" t="s">
        <v>6</v>
      </c>
      <c r="I4" s="12" t="s">
        <v>7</v>
      </c>
      <c r="J4" s="12" t="s">
        <v>8</v>
      </c>
      <c r="K4" s="12" t="s">
        <v>9</v>
      </c>
      <c r="L4" s="12" t="s">
        <v>10</v>
      </c>
      <c r="M4" s="12" t="s">
        <v>11</v>
      </c>
      <c r="N4" s="12" t="s">
        <v>12</v>
      </c>
      <c r="O4" s="14"/>
    </row>
    <row r="5" spans="2:15">
      <c r="B5" s="3">
        <v>1</v>
      </c>
      <c r="C5" s="4">
        <v>230</v>
      </c>
      <c r="D5" s="2" t="s">
        <v>13</v>
      </c>
      <c r="E5" s="2" t="s">
        <v>14</v>
      </c>
      <c r="F5" s="5" t="s">
        <v>15</v>
      </c>
      <c r="G5" s="5" t="s">
        <v>16</v>
      </c>
      <c r="H5" s="5" t="s">
        <v>17</v>
      </c>
      <c r="I5" s="5" t="s">
        <v>18</v>
      </c>
      <c r="J5" s="5" t="s">
        <v>19</v>
      </c>
      <c r="K5" s="5" t="s">
        <v>20</v>
      </c>
      <c r="L5" s="5" t="s">
        <v>21</v>
      </c>
      <c r="M5" s="5" t="s">
        <v>22</v>
      </c>
      <c r="N5" s="15" t="s">
        <v>23</v>
      </c>
    </row>
    <row r="6" spans="2:15">
      <c r="B6" s="3">
        <v>2</v>
      </c>
      <c r="C6" s="4">
        <v>212</v>
      </c>
      <c r="D6" s="2" t="s">
        <v>24</v>
      </c>
      <c r="E6" s="2" t="s">
        <v>25</v>
      </c>
      <c r="F6" s="5" t="s">
        <v>15</v>
      </c>
      <c r="G6" s="5" t="s">
        <v>26</v>
      </c>
      <c r="H6" s="5" t="s">
        <v>27</v>
      </c>
      <c r="I6" s="5" t="s">
        <v>28</v>
      </c>
      <c r="J6" s="5" t="s">
        <v>29</v>
      </c>
      <c r="K6" s="5" t="s">
        <v>30</v>
      </c>
      <c r="L6" s="5" t="s">
        <v>31</v>
      </c>
      <c r="M6" s="5" t="s">
        <v>32</v>
      </c>
      <c r="N6" s="15" t="s">
        <v>33</v>
      </c>
    </row>
    <row r="7" spans="2:15">
      <c r="B7" s="3">
        <v>3</v>
      </c>
      <c r="C7" s="4">
        <v>225</v>
      </c>
      <c r="D7" s="2" t="s">
        <v>34</v>
      </c>
      <c r="E7" s="2" t="s">
        <v>35</v>
      </c>
      <c r="F7" s="5" t="s">
        <v>15</v>
      </c>
      <c r="G7" s="5" t="s">
        <v>36</v>
      </c>
      <c r="H7" s="5" t="s">
        <v>37</v>
      </c>
      <c r="I7" s="5" t="s">
        <v>38</v>
      </c>
      <c r="J7" s="5" t="s">
        <v>39</v>
      </c>
      <c r="K7" s="5" t="s">
        <v>40</v>
      </c>
      <c r="L7" s="5" t="s">
        <v>41</v>
      </c>
      <c r="M7" s="5" t="s">
        <v>42</v>
      </c>
      <c r="N7" s="15" t="s">
        <v>43</v>
      </c>
    </row>
    <row r="8" spans="2:15">
      <c r="B8" s="3">
        <v>4</v>
      </c>
      <c r="C8" s="4">
        <v>210</v>
      </c>
      <c r="D8" s="2" t="s">
        <v>44</v>
      </c>
      <c r="E8" s="2" t="s">
        <v>45</v>
      </c>
      <c r="F8" s="5" t="s">
        <v>15</v>
      </c>
      <c r="G8" s="5" t="s">
        <v>46</v>
      </c>
      <c r="H8" s="5" t="s">
        <v>47</v>
      </c>
      <c r="I8" s="5" t="s">
        <v>48</v>
      </c>
      <c r="J8" s="5" t="s">
        <v>49</v>
      </c>
      <c r="K8" s="5" t="s">
        <v>50</v>
      </c>
      <c r="L8" s="5" t="s">
        <v>51</v>
      </c>
      <c r="M8" s="5" t="s">
        <v>52</v>
      </c>
      <c r="N8" s="15" t="s">
        <v>53</v>
      </c>
    </row>
    <row r="9" spans="2:15">
      <c r="B9" s="3">
        <v>5</v>
      </c>
      <c r="C9" s="4">
        <v>208</v>
      </c>
      <c r="D9" s="2" t="s">
        <v>54</v>
      </c>
      <c r="E9" s="2" t="s">
        <v>55</v>
      </c>
      <c r="F9" s="5" t="s">
        <v>15</v>
      </c>
      <c r="G9" s="5" t="s">
        <v>56</v>
      </c>
      <c r="H9" s="5" t="s">
        <v>57</v>
      </c>
      <c r="I9" s="5" t="s">
        <v>58</v>
      </c>
      <c r="J9" s="5" t="s">
        <v>59</v>
      </c>
      <c r="K9" s="5" t="s">
        <v>49</v>
      </c>
      <c r="L9" s="5" t="s">
        <v>60</v>
      </c>
      <c r="M9" s="5" t="s">
        <v>61</v>
      </c>
      <c r="N9" s="15" t="s">
        <v>62</v>
      </c>
    </row>
    <row r="10" spans="2:15">
      <c r="B10" s="3">
        <v>6</v>
      </c>
      <c r="C10" s="4">
        <v>233</v>
      </c>
      <c r="D10" s="2" t="s">
        <v>63</v>
      </c>
      <c r="E10" s="2" t="s">
        <v>64</v>
      </c>
      <c r="F10" s="5" t="s">
        <v>15</v>
      </c>
      <c r="G10" s="5" t="s">
        <v>36</v>
      </c>
      <c r="H10" s="5" t="s">
        <v>65</v>
      </c>
      <c r="I10" s="5" t="s">
        <v>66</v>
      </c>
      <c r="J10" s="5" t="s">
        <v>67</v>
      </c>
      <c r="K10" s="5" t="s">
        <v>47</v>
      </c>
      <c r="L10" s="5" t="s">
        <v>66</v>
      </c>
      <c r="M10" s="5" t="s">
        <v>68</v>
      </c>
      <c r="N10" s="15" t="s">
        <v>69</v>
      </c>
    </row>
    <row r="11" spans="2:15">
      <c r="B11" s="3">
        <v>7</v>
      </c>
      <c r="C11" s="4">
        <v>234</v>
      </c>
      <c r="D11" s="2" t="s">
        <v>70</v>
      </c>
      <c r="E11" s="2" t="s">
        <v>71</v>
      </c>
      <c r="F11" s="5" t="s">
        <v>15</v>
      </c>
      <c r="G11" s="5" t="s">
        <v>72</v>
      </c>
      <c r="H11" s="5" t="s">
        <v>73</v>
      </c>
      <c r="I11" s="5" t="s">
        <v>74</v>
      </c>
      <c r="J11" s="5" t="s">
        <v>75</v>
      </c>
      <c r="K11" s="5" t="s">
        <v>76</v>
      </c>
      <c r="L11" s="5" t="s">
        <v>77</v>
      </c>
      <c r="M11" s="5" t="s">
        <v>78</v>
      </c>
      <c r="N11" s="15" t="s">
        <v>79</v>
      </c>
    </row>
    <row r="12" spans="2:15">
      <c r="B12" s="3">
        <v>8</v>
      </c>
      <c r="C12" s="4">
        <v>207</v>
      </c>
      <c r="D12" s="2" t="s">
        <v>80</v>
      </c>
      <c r="E12" s="2" t="s">
        <v>81</v>
      </c>
      <c r="F12" s="5" t="s">
        <v>15</v>
      </c>
      <c r="G12" s="5" t="s">
        <v>82</v>
      </c>
      <c r="H12" s="5" t="s">
        <v>83</v>
      </c>
      <c r="I12" s="5" t="s">
        <v>84</v>
      </c>
      <c r="J12" s="5" t="s">
        <v>85</v>
      </c>
      <c r="K12" s="5" t="s">
        <v>86</v>
      </c>
      <c r="L12" s="5" t="s">
        <v>87</v>
      </c>
      <c r="M12" s="5" t="s">
        <v>88</v>
      </c>
      <c r="N12" s="15" t="s">
        <v>89</v>
      </c>
    </row>
    <row r="13" spans="2:15">
      <c r="B13" s="3">
        <v>9</v>
      </c>
      <c r="C13" s="4">
        <v>218</v>
      </c>
      <c r="D13" s="2" t="s">
        <v>90</v>
      </c>
      <c r="E13" s="2" t="s">
        <v>91</v>
      </c>
      <c r="F13" s="5" t="s">
        <v>15</v>
      </c>
      <c r="G13" s="5" t="s">
        <v>92</v>
      </c>
      <c r="H13" s="5" t="s">
        <v>93</v>
      </c>
      <c r="I13" s="5" t="s">
        <v>94</v>
      </c>
      <c r="J13" s="5" t="s">
        <v>47</v>
      </c>
      <c r="K13" s="5" t="s">
        <v>95</v>
      </c>
      <c r="L13" s="5" t="s">
        <v>96</v>
      </c>
      <c r="M13" s="5" t="s">
        <v>97</v>
      </c>
      <c r="N13" s="15" t="s">
        <v>98</v>
      </c>
    </row>
    <row r="14" spans="2:15">
      <c r="B14" s="3">
        <v>10</v>
      </c>
      <c r="C14" s="4">
        <v>228</v>
      </c>
      <c r="D14" s="2" t="s">
        <v>99</v>
      </c>
      <c r="E14" s="2" t="s">
        <v>100</v>
      </c>
      <c r="F14" s="5" t="s">
        <v>15</v>
      </c>
      <c r="G14" s="5" t="s">
        <v>101</v>
      </c>
      <c r="H14" s="5" t="s">
        <v>102</v>
      </c>
      <c r="I14" s="5" t="s">
        <v>103</v>
      </c>
      <c r="J14" s="5" t="s">
        <v>104</v>
      </c>
      <c r="K14" s="5" t="s">
        <v>105</v>
      </c>
      <c r="L14" s="5" t="s">
        <v>67</v>
      </c>
      <c r="M14" s="5" t="s">
        <v>106</v>
      </c>
      <c r="N14" s="15" t="s">
        <v>107</v>
      </c>
    </row>
    <row r="15" spans="2:15">
      <c r="B15" s="3">
        <v>11</v>
      </c>
      <c r="C15" s="4">
        <v>203</v>
      </c>
      <c r="D15" s="2" t="s">
        <v>108</v>
      </c>
      <c r="E15" s="2" t="s">
        <v>109</v>
      </c>
      <c r="F15" s="5" t="s">
        <v>15</v>
      </c>
      <c r="G15" s="5" t="s">
        <v>31</v>
      </c>
      <c r="H15" s="5" t="s">
        <v>110</v>
      </c>
      <c r="I15" s="5" t="s">
        <v>111</v>
      </c>
      <c r="J15" s="5" t="s">
        <v>112</v>
      </c>
      <c r="K15" s="5" t="s">
        <v>113</v>
      </c>
      <c r="L15" s="5" t="s">
        <v>114</v>
      </c>
      <c r="M15" s="5" t="s">
        <v>111</v>
      </c>
      <c r="N15" s="15" t="s">
        <v>115</v>
      </c>
    </row>
    <row r="16" spans="2:15">
      <c r="B16" s="3">
        <v>12</v>
      </c>
      <c r="C16" s="4">
        <v>215</v>
      </c>
      <c r="D16" s="2" t="s">
        <v>116</v>
      </c>
      <c r="E16" s="2" t="s">
        <v>117</v>
      </c>
      <c r="F16" s="5" t="s">
        <v>15</v>
      </c>
      <c r="G16" s="5" t="s">
        <v>118</v>
      </c>
      <c r="H16" s="5" t="s">
        <v>119</v>
      </c>
      <c r="I16" s="5" t="s">
        <v>120</v>
      </c>
      <c r="J16" s="5" t="s">
        <v>121</v>
      </c>
      <c r="K16" s="5" t="s">
        <v>122</v>
      </c>
      <c r="L16" s="5" t="s">
        <v>123</v>
      </c>
      <c r="M16" s="5" t="s">
        <v>124</v>
      </c>
      <c r="N16" s="15" t="s">
        <v>125</v>
      </c>
    </row>
    <row r="17" spans="2:15">
      <c r="B17" s="7">
        <v>13</v>
      </c>
      <c r="C17" s="8">
        <v>214</v>
      </c>
      <c r="D17" s="6" t="s">
        <v>126</v>
      </c>
      <c r="E17" s="6" t="s">
        <v>127</v>
      </c>
      <c r="F17" s="9" t="s">
        <v>15</v>
      </c>
      <c r="G17" s="9" t="s">
        <v>128</v>
      </c>
      <c r="H17" s="9" t="s">
        <v>129</v>
      </c>
      <c r="I17" s="9" t="s">
        <v>130</v>
      </c>
      <c r="J17" s="9" t="s">
        <v>131</v>
      </c>
      <c r="K17" s="9" t="s">
        <v>132</v>
      </c>
      <c r="L17" s="9" t="s">
        <v>133</v>
      </c>
      <c r="M17" s="9" t="s">
        <v>134</v>
      </c>
      <c r="N17" s="9" t="s">
        <v>135</v>
      </c>
      <c r="O17" s="10"/>
    </row>
    <row r="18" spans="2:15">
      <c r="B18" s="3">
        <v>14</v>
      </c>
      <c r="C18" s="4">
        <v>227</v>
      </c>
      <c r="D18" s="2" t="s">
        <v>136</v>
      </c>
      <c r="E18" s="2" t="s">
        <v>137</v>
      </c>
      <c r="F18" s="5" t="s">
        <v>15</v>
      </c>
      <c r="G18" s="5" t="s">
        <v>138</v>
      </c>
      <c r="H18" s="5" t="s">
        <v>27</v>
      </c>
      <c r="I18" s="5" t="s">
        <v>139</v>
      </c>
      <c r="J18" s="5" t="s">
        <v>140</v>
      </c>
      <c r="K18" s="5" t="s">
        <v>141</v>
      </c>
      <c r="L18" s="5" t="s">
        <v>142</v>
      </c>
      <c r="M18" s="5" t="s">
        <v>143</v>
      </c>
      <c r="N18" s="15" t="s">
        <v>144</v>
      </c>
    </row>
    <row r="19" spans="2:15">
      <c r="B19" s="3">
        <v>15</v>
      </c>
      <c r="C19" s="4">
        <v>232</v>
      </c>
      <c r="D19" s="2" t="s">
        <v>145</v>
      </c>
      <c r="E19" s="2" t="s">
        <v>146</v>
      </c>
      <c r="F19" s="5" t="s">
        <v>15</v>
      </c>
      <c r="G19" s="5" t="s">
        <v>110</v>
      </c>
      <c r="H19" s="5" t="s">
        <v>147</v>
      </c>
      <c r="I19" s="5" t="s">
        <v>148</v>
      </c>
      <c r="J19" s="5" t="s">
        <v>149</v>
      </c>
      <c r="K19" s="5" t="s">
        <v>150</v>
      </c>
      <c r="L19" s="5" t="s">
        <v>151</v>
      </c>
      <c r="M19" s="5" t="s">
        <v>152</v>
      </c>
      <c r="N19" s="15" t="s">
        <v>153</v>
      </c>
    </row>
    <row r="20" spans="2:15">
      <c r="B20" s="3">
        <v>16</v>
      </c>
      <c r="C20" s="4">
        <v>209</v>
      </c>
      <c r="D20" s="2" t="s">
        <v>154</v>
      </c>
      <c r="E20" s="2" t="s">
        <v>155</v>
      </c>
      <c r="F20" s="5" t="s">
        <v>15</v>
      </c>
      <c r="G20" s="5" t="s">
        <v>156</v>
      </c>
      <c r="H20" s="5" t="s">
        <v>157</v>
      </c>
      <c r="I20" s="5" t="s">
        <v>158</v>
      </c>
      <c r="J20" s="5" t="s">
        <v>159</v>
      </c>
      <c r="K20" s="5" t="s">
        <v>73</v>
      </c>
      <c r="L20" s="5" t="s">
        <v>160</v>
      </c>
      <c r="M20" s="5" t="s">
        <v>94</v>
      </c>
      <c r="N20" s="15" t="s">
        <v>161</v>
      </c>
    </row>
    <row r="21" spans="2:15">
      <c r="B21" s="3">
        <v>17</v>
      </c>
      <c r="C21" s="4">
        <v>213</v>
      </c>
      <c r="D21" s="2" t="s">
        <v>162</v>
      </c>
      <c r="E21" s="2" t="s">
        <v>163</v>
      </c>
      <c r="F21" s="5" t="s">
        <v>15</v>
      </c>
      <c r="G21" s="5" t="s">
        <v>85</v>
      </c>
      <c r="H21" s="5" t="s">
        <v>164</v>
      </c>
      <c r="I21" s="5" t="s">
        <v>165</v>
      </c>
      <c r="J21" s="5" t="s">
        <v>166</v>
      </c>
      <c r="K21" s="5" t="s">
        <v>122</v>
      </c>
      <c r="L21" s="5" t="s">
        <v>167</v>
      </c>
      <c r="M21" s="5" t="s">
        <v>168</v>
      </c>
      <c r="N21" s="15" t="s">
        <v>169</v>
      </c>
    </row>
    <row r="22" spans="2:15">
      <c r="B22" s="3">
        <v>18</v>
      </c>
      <c r="C22" s="4">
        <v>231</v>
      </c>
      <c r="D22" s="2" t="s">
        <v>170</v>
      </c>
      <c r="E22" s="2" t="s">
        <v>171</v>
      </c>
      <c r="F22" s="5" t="s">
        <v>15</v>
      </c>
      <c r="G22" s="5" t="s">
        <v>82</v>
      </c>
      <c r="H22" s="5" t="s">
        <v>172</v>
      </c>
      <c r="I22" s="5" t="s">
        <v>68</v>
      </c>
      <c r="J22" s="5" t="s">
        <v>173</v>
      </c>
      <c r="K22" s="5" t="s">
        <v>174</v>
      </c>
      <c r="L22" s="5" t="s">
        <v>175</v>
      </c>
      <c r="M22" s="5" t="s">
        <v>176</v>
      </c>
      <c r="N22" s="15" t="s">
        <v>177</v>
      </c>
    </row>
    <row r="23" spans="2:15">
      <c r="B23" s="3">
        <v>19</v>
      </c>
      <c r="C23" s="4">
        <v>222</v>
      </c>
      <c r="D23" s="2" t="s">
        <v>178</v>
      </c>
      <c r="E23" s="2" t="s">
        <v>179</v>
      </c>
      <c r="F23" s="5" t="s">
        <v>15</v>
      </c>
      <c r="G23" s="5" t="s">
        <v>180</v>
      </c>
      <c r="H23" s="5" t="s">
        <v>181</v>
      </c>
      <c r="I23" s="5" t="s">
        <v>182</v>
      </c>
      <c r="J23" s="5" t="s">
        <v>183</v>
      </c>
      <c r="K23" s="5" t="s">
        <v>114</v>
      </c>
      <c r="L23" s="5" t="s">
        <v>184</v>
      </c>
      <c r="M23" s="5" t="s">
        <v>185</v>
      </c>
      <c r="N23" s="15" t="s">
        <v>186</v>
      </c>
    </row>
    <row r="24" spans="2:15">
      <c r="B24" s="3">
        <v>20</v>
      </c>
      <c r="C24" s="4">
        <v>224</v>
      </c>
      <c r="D24" s="2" t="s">
        <v>187</v>
      </c>
      <c r="E24" s="2" t="s">
        <v>188</v>
      </c>
      <c r="F24" s="5" t="s">
        <v>15</v>
      </c>
      <c r="G24" s="5" t="s">
        <v>189</v>
      </c>
      <c r="H24" s="5" t="s">
        <v>190</v>
      </c>
      <c r="I24" s="5" t="s">
        <v>191</v>
      </c>
      <c r="J24" s="5" t="s">
        <v>192</v>
      </c>
      <c r="K24" s="5" t="s">
        <v>101</v>
      </c>
      <c r="L24" s="5" t="s">
        <v>52</v>
      </c>
      <c r="M24" s="5" t="s">
        <v>193</v>
      </c>
      <c r="N24" s="15" t="s">
        <v>194</v>
      </c>
    </row>
    <row r="25" spans="2:15">
      <c r="B25" s="3">
        <v>21</v>
      </c>
      <c r="C25" s="4">
        <v>201</v>
      </c>
      <c r="D25" s="2" t="s">
        <v>195</v>
      </c>
      <c r="E25" s="2" t="s">
        <v>196</v>
      </c>
      <c r="F25" s="5" t="s">
        <v>15</v>
      </c>
      <c r="G25" s="5" t="s">
        <v>197</v>
      </c>
      <c r="H25" s="5" t="s">
        <v>198</v>
      </c>
      <c r="I25" s="5" t="s">
        <v>199</v>
      </c>
      <c r="J25" s="5" t="s">
        <v>200</v>
      </c>
      <c r="K25" s="5" t="s">
        <v>201</v>
      </c>
      <c r="L25" s="5" t="s">
        <v>202</v>
      </c>
      <c r="M25" s="5" t="s">
        <v>203</v>
      </c>
      <c r="N25" s="15" t="s">
        <v>204</v>
      </c>
    </row>
    <row r="26" spans="2:15">
      <c r="B26" s="3">
        <v>22</v>
      </c>
      <c r="C26" s="4">
        <v>226</v>
      </c>
      <c r="D26" s="2" t="s">
        <v>205</v>
      </c>
      <c r="E26" s="2" t="s">
        <v>206</v>
      </c>
      <c r="F26" s="5" t="s">
        <v>15</v>
      </c>
      <c r="G26" s="5" t="s">
        <v>207</v>
      </c>
      <c r="H26" s="5" t="s">
        <v>208</v>
      </c>
      <c r="I26" s="5" t="s">
        <v>97</v>
      </c>
      <c r="J26" s="5" t="s">
        <v>209</v>
      </c>
      <c r="K26" s="5" t="s">
        <v>118</v>
      </c>
      <c r="L26" s="5" t="s">
        <v>210</v>
      </c>
      <c r="M26" s="5" t="s">
        <v>211</v>
      </c>
      <c r="N26" s="15" t="s">
        <v>212</v>
      </c>
    </row>
    <row r="27" spans="2:15">
      <c r="B27" s="3">
        <v>23</v>
      </c>
      <c r="C27" s="4">
        <v>205</v>
      </c>
      <c r="D27" s="2" t="s">
        <v>213</v>
      </c>
      <c r="E27" s="2" t="s">
        <v>214</v>
      </c>
      <c r="F27" s="5" t="s">
        <v>15</v>
      </c>
      <c r="G27" s="5" t="s">
        <v>215</v>
      </c>
      <c r="H27" s="5" t="s">
        <v>216</v>
      </c>
      <c r="I27" s="5" t="s">
        <v>217</v>
      </c>
      <c r="J27" s="5" t="s">
        <v>151</v>
      </c>
      <c r="K27" s="5" t="s">
        <v>139</v>
      </c>
      <c r="L27" s="5" t="s">
        <v>211</v>
      </c>
      <c r="M27" s="5" t="s">
        <v>218</v>
      </c>
      <c r="N27" s="15" t="s">
        <v>219</v>
      </c>
    </row>
    <row r="28" spans="2:15">
      <c r="B28" s="3">
        <v>24</v>
      </c>
      <c r="C28" s="4">
        <v>217</v>
      </c>
      <c r="D28" s="2" t="s">
        <v>220</v>
      </c>
      <c r="E28" s="1"/>
      <c r="F28" s="5" t="s">
        <v>15</v>
      </c>
      <c r="G28" s="5" t="s">
        <v>221</v>
      </c>
      <c r="H28" s="5" t="s">
        <v>222</v>
      </c>
      <c r="I28" s="5" t="s">
        <v>203</v>
      </c>
      <c r="J28" s="5" t="s">
        <v>223</v>
      </c>
      <c r="K28" s="5" t="s">
        <v>224</v>
      </c>
      <c r="L28" s="5" t="s">
        <v>225</v>
      </c>
      <c r="M28" s="5" t="s">
        <v>226</v>
      </c>
      <c r="N28" s="15" t="s">
        <v>227</v>
      </c>
    </row>
    <row r="29" spans="2:15">
      <c r="B29" s="3">
        <v>25</v>
      </c>
      <c r="C29" s="4">
        <v>201</v>
      </c>
      <c r="D29" s="2" t="s">
        <v>228</v>
      </c>
      <c r="E29" s="2" t="s">
        <v>229</v>
      </c>
      <c r="F29" s="5" t="s">
        <v>15</v>
      </c>
      <c r="G29" s="5" t="s">
        <v>230</v>
      </c>
      <c r="H29" s="5" t="s">
        <v>231</v>
      </c>
      <c r="I29" s="5" t="s">
        <v>104</v>
      </c>
      <c r="J29" s="5" t="s">
        <v>182</v>
      </c>
      <c r="K29" s="5" t="s">
        <v>232</v>
      </c>
      <c r="L29" s="5" t="s">
        <v>233</v>
      </c>
      <c r="M29" s="5" t="s">
        <v>234</v>
      </c>
      <c r="N29" s="15" t="s">
        <v>235</v>
      </c>
    </row>
    <row r="30" spans="2:15">
      <c r="B30" s="3">
        <v>26</v>
      </c>
      <c r="C30" s="4">
        <v>216</v>
      </c>
      <c r="D30" s="2" t="s">
        <v>236</v>
      </c>
      <c r="E30" s="1"/>
      <c r="F30" s="5" t="s">
        <v>15</v>
      </c>
      <c r="G30" s="5" t="s">
        <v>237</v>
      </c>
      <c r="H30" s="5" t="s">
        <v>238</v>
      </c>
      <c r="I30" s="5" t="s">
        <v>239</v>
      </c>
      <c r="J30" s="5" t="s">
        <v>240</v>
      </c>
      <c r="K30" s="5" t="s">
        <v>185</v>
      </c>
      <c r="L30" s="5" t="s">
        <v>241</v>
      </c>
      <c r="M30" s="5" t="s">
        <v>221</v>
      </c>
      <c r="N30" s="15" t="s">
        <v>242</v>
      </c>
    </row>
    <row r="31" spans="2:15">
      <c r="B31" s="3">
        <v>27</v>
      </c>
      <c r="C31" s="4">
        <v>206</v>
      </c>
      <c r="D31" s="2" t="s">
        <v>243</v>
      </c>
      <c r="E31" s="2" t="s">
        <v>244</v>
      </c>
      <c r="F31" s="5" t="s">
        <v>15</v>
      </c>
      <c r="G31" s="5" t="s">
        <v>230</v>
      </c>
      <c r="H31" s="5" t="s">
        <v>245</v>
      </c>
      <c r="I31" s="5" t="s">
        <v>246</v>
      </c>
      <c r="J31" s="5" t="s">
        <v>216</v>
      </c>
      <c r="K31" s="5" t="s">
        <v>191</v>
      </c>
      <c r="L31" s="5" t="s">
        <v>247</v>
      </c>
      <c r="M31" s="5" t="s">
        <v>139</v>
      </c>
      <c r="N31" s="15" t="s">
        <v>248</v>
      </c>
    </row>
    <row r="32" spans="2:15">
      <c r="B32" s="3">
        <v>28</v>
      </c>
      <c r="C32" s="4">
        <v>220</v>
      </c>
      <c r="D32" s="2" t="s">
        <v>249</v>
      </c>
      <c r="E32" s="2" t="s">
        <v>250</v>
      </c>
      <c r="F32" s="5" t="s">
        <v>15</v>
      </c>
      <c r="G32" s="5" t="s">
        <v>230</v>
      </c>
      <c r="H32" s="5" t="s">
        <v>251</v>
      </c>
      <c r="I32" s="5" t="s">
        <v>252</v>
      </c>
      <c r="J32" s="5" t="s">
        <v>184</v>
      </c>
      <c r="K32" s="5" t="s">
        <v>253</v>
      </c>
      <c r="L32" s="5" t="s">
        <v>254</v>
      </c>
      <c r="M32" s="5" t="s">
        <v>255</v>
      </c>
      <c r="N32" s="15" t="s">
        <v>256</v>
      </c>
    </row>
    <row r="33" spans="2:15">
      <c r="B33" s="3">
        <v>29</v>
      </c>
      <c r="C33" s="4">
        <v>204</v>
      </c>
      <c r="D33" s="2" t="s">
        <v>257</v>
      </c>
      <c r="E33" s="2" t="s">
        <v>258</v>
      </c>
      <c r="F33" s="5" t="s">
        <v>15</v>
      </c>
      <c r="G33" s="5" t="s">
        <v>173</v>
      </c>
      <c r="H33" s="5" t="s">
        <v>259</v>
      </c>
      <c r="I33" s="5" t="s">
        <v>253</v>
      </c>
      <c r="J33" s="5" t="s">
        <v>260</v>
      </c>
      <c r="K33" s="5" t="s">
        <v>261</v>
      </c>
      <c r="L33" s="5" t="s">
        <v>150</v>
      </c>
      <c r="M33" s="5" t="s">
        <v>262</v>
      </c>
      <c r="N33" s="15" t="s">
        <v>263</v>
      </c>
    </row>
    <row r="34" spans="2:15" ht="12" customHeight="1" thickBot="1">
      <c r="G34" s="71">
        <f>SUM(12*60+48)</f>
        <v>768</v>
      </c>
      <c r="H34" s="72">
        <f>SUM(15*60+29)</f>
        <v>929</v>
      </c>
      <c r="I34" s="72">
        <f>SUM(14*60+8)</f>
        <v>848</v>
      </c>
      <c r="J34" s="72">
        <f>SUM(14*60+28)</f>
        <v>868</v>
      </c>
      <c r="K34" s="72">
        <f>SUM(13*60+45)</f>
        <v>825</v>
      </c>
      <c r="L34" s="72">
        <f>SUM(13*60+43)</f>
        <v>823</v>
      </c>
      <c r="M34" s="72">
        <f>SUM(12*60+34)</f>
        <v>754</v>
      </c>
    </row>
    <row r="35" spans="2:15">
      <c r="E35" s="69"/>
      <c r="F35" s="29" t="s">
        <v>282</v>
      </c>
      <c r="G35" s="21" t="s">
        <v>283</v>
      </c>
      <c r="H35" s="21" t="s">
        <v>284</v>
      </c>
      <c r="I35" s="21" t="s">
        <v>285</v>
      </c>
      <c r="J35" s="21" t="s">
        <v>286</v>
      </c>
      <c r="K35" s="23" t="s">
        <v>287</v>
      </c>
      <c r="L35" s="23" t="s">
        <v>288</v>
      </c>
      <c r="M35" s="25" t="s">
        <v>289</v>
      </c>
      <c r="N35" s="26" t="s">
        <v>290</v>
      </c>
    </row>
    <row r="36" spans="2:15">
      <c r="E36" s="51" t="s">
        <v>293</v>
      </c>
      <c r="F36" s="30" t="s">
        <v>291</v>
      </c>
      <c r="G36" s="17" t="s">
        <v>264</v>
      </c>
      <c r="H36" s="17" t="s">
        <v>265</v>
      </c>
      <c r="I36" s="17" t="s">
        <v>266</v>
      </c>
      <c r="J36" s="67" t="s">
        <v>267</v>
      </c>
      <c r="K36" s="22" t="s">
        <v>281</v>
      </c>
      <c r="L36" s="22" t="s">
        <v>268</v>
      </c>
      <c r="M36" s="65" t="s">
        <v>309</v>
      </c>
      <c r="N36" s="27" t="s">
        <v>279</v>
      </c>
      <c r="O36" s="37"/>
    </row>
    <row r="37" spans="2:15">
      <c r="B37" s="83"/>
      <c r="C37" s="84">
        <v>0.53333333333333333</v>
      </c>
      <c r="D37" s="83"/>
      <c r="E37" s="64">
        <v>2014</v>
      </c>
      <c r="F37" s="31" t="s">
        <v>269</v>
      </c>
      <c r="G37" s="56" t="s">
        <v>128</v>
      </c>
      <c r="H37" s="56" t="s">
        <v>129</v>
      </c>
      <c r="I37" s="56" t="s">
        <v>130</v>
      </c>
      <c r="J37" s="56" t="s">
        <v>131</v>
      </c>
      <c r="K37" s="57" t="s">
        <v>132</v>
      </c>
      <c r="L37" s="57" t="s">
        <v>133</v>
      </c>
      <c r="M37" s="58" t="s">
        <v>134</v>
      </c>
      <c r="N37" s="59" t="s">
        <v>135</v>
      </c>
      <c r="O37" s="38">
        <v>13</v>
      </c>
    </row>
    <row r="38" spans="2:15" ht="15.75" thickBot="1">
      <c r="B38" s="85">
        <v>3014</v>
      </c>
      <c r="C38" s="86">
        <f>SUM(12*60+48)</f>
        <v>768</v>
      </c>
      <c r="D38" s="87">
        <f>SUM(B38)/C38*(12*60/1000)*22.351-11.288</f>
        <v>51.867544374999994</v>
      </c>
      <c r="E38" s="51" t="s">
        <v>310</v>
      </c>
      <c r="F38" s="30" t="s">
        <v>270</v>
      </c>
      <c r="G38" s="19" t="s">
        <v>271</v>
      </c>
      <c r="H38" s="19" t="s">
        <v>272</v>
      </c>
      <c r="I38" s="19" t="s">
        <v>278</v>
      </c>
      <c r="J38" s="68" t="s">
        <v>277</v>
      </c>
      <c r="K38" s="24" t="s">
        <v>276</v>
      </c>
      <c r="L38" s="24" t="s">
        <v>275</v>
      </c>
      <c r="M38" s="66" t="s">
        <v>274</v>
      </c>
      <c r="N38" s="28" t="s">
        <v>273</v>
      </c>
      <c r="O38" s="37"/>
    </row>
    <row r="39" spans="2:15" ht="15.75" thickBot="1">
      <c r="B39" s="77" t="s">
        <v>313</v>
      </c>
      <c r="D39" s="37"/>
      <c r="E39" s="70">
        <v>3014</v>
      </c>
      <c r="F39" s="82" t="s">
        <v>311</v>
      </c>
      <c r="G39" s="74">
        <f>SUM(E39/G34)*(12*60/1000)*22.351-11.288</f>
        <v>51.867544374999994</v>
      </c>
      <c r="H39" s="74">
        <f>SUM(E39/H34)*(12*60/1000)*22.351-11.288</f>
        <v>40.922396210979542</v>
      </c>
      <c r="I39" s="74">
        <f>SUM(E39/I34)*(12*60/1000)*22.351-11.288</f>
        <v>45.909474150943396</v>
      </c>
      <c r="J39" s="74">
        <f>SUM(E39/J34)*(12*60/1000)*22.351-11.288</f>
        <v>44.591560000000001</v>
      </c>
      <c r="K39" s="74">
        <f>SUM(E39/K34)*(12*60/1000)*22.351-11.288</f>
        <v>47.504070399999989</v>
      </c>
      <c r="L39" s="74">
        <f>SUM(E39/L34)*(12*60/1000)*22.351-11.288</f>
        <v>47.646942989064385</v>
      </c>
      <c r="M39" s="74">
        <f>SUM(E39/M34)*(12*60/1000)*22.351-11.288</f>
        <v>53.040193740053041</v>
      </c>
      <c r="N39" s="18">
        <f>SUM(96*60+49)/(3013*7)*1000-240</f>
        <v>35.425536958892451</v>
      </c>
      <c r="O39" s="37"/>
    </row>
    <row r="40" spans="2:15" ht="9" customHeight="1">
      <c r="G40" s="71">
        <f>SUM(10*60+18)</f>
        <v>618</v>
      </c>
      <c r="H40" s="72">
        <f>SUM(12*60+50)</f>
        <v>770</v>
      </c>
      <c r="I40" s="72">
        <f>SUM(12*60+2)</f>
        <v>722</v>
      </c>
      <c r="J40" s="72">
        <f>SUM(10*60+31)</f>
        <v>631</v>
      </c>
      <c r="K40" s="72">
        <f>SUM(12*60+5)</f>
        <v>725</v>
      </c>
      <c r="L40" s="72">
        <f>SUM(9*60+52)</f>
        <v>592</v>
      </c>
      <c r="M40" s="72">
        <f>SUM(12*60+10)</f>
        <v>730</v>
      </c>
    </row>
    <row r="41" spans="2:15">
      <c r="D41" s="37"/>
      <c r="F41" s="44" t="s">
        <v>282</v>
      </c>
      <c r="G41" s="36"/>
      <c r="H41" s="36"/>
      <c r="I41" s="53" t="s">
        <v>300</v>
      </c>
      <c r="J41" s="54"/>
      <c r="K41" s="54"/>
      <c r="L41" s="55" t="s">
        <v>301</v>
      </c>
      <c r="N41" s="48"/>
      <c r="O41" s="37"/>
    </row>
    <row r="42" spans="2:15">
      <c r="D42" s="37"/>
      <c r="E42" s="52" t="s">
        <v>292</v>
      </c>
      <c r="F42" s="45" t="s">
        <v>291</v>
      </c>
      <c r="G42" s="32" t="s">
        <v>302</v>
      </c>
      <c r="H42" s="32" t="s">
        <v>308</v>
      </c>
      <c r="I42" s="40" t="s">
        <v>267</v>
      </c>
      <c r="J42" s="33" t="s">
        <v>303</v>
      </c>
      <c r="K42" s="33" t="s">
        <v>304</v>
      </c>
      <c r="L42" s="42" t="s">
        <v>309</v>
      </c>
      <c r="M42" s="33" t="s">
        <v>305</v>
      </c>
      <c r="N42" s="49"/>
      <c r="O42" s="37"/>
    </row>
    <row r="43" spans="2:15">
      <c r="E43" s="63">
        <v>2001</v>
      </c>
      <c r="F43" s="46" t="s">
        <v>269</v>
      </c>
      <c r="G43" s="60" t="s">
        <v>306</v>
      </c>
      <c r="H43" s="60" t="s">
        <v>307</v>
      </c>
      <c r="I43" s="60" t="s">
        <v>295</v>
      </c>
      <c r="J43" s="60" t="s">
        <v>92</v>
      </c>
      <c r="K43" s="60" t="s">
        <v>49</v>
      </c>
      <c r="L43" s="61" t="s">
        <v>297</v>
      </c>
      <c r="M43" s="60" t="s">
        <v>138</v>
      </c>
      <c r="N43" s="62" t="s">
        <v>299</v>
      </c>
      <c r="O43" s="39">
        <v>5</v>
      </c>
    </row>
    <row r="44" spans="2:15">
      <c r="D44" s="51"/>
      <c r="E44" s="51" t="s">
        <v>294</v>
      </c>
      <c r="F44" s="47" t="s">
        <v>270</v>
      </c>
      <c r="G44" s="34"/>
      <c r="H44" s="34"/>
      <c r="I44" s="41" t="s">
        <v>296</v>
      </c>
      <c r="J44" s="35"/>
      <c r="K44" s="35"/>
      <c r="L44" s="43" t="s">
        <v>298</v>
      </c>
      <c r="N44" s="50"/>
      <c r="O44" s="37"/>
    </row>
    <row r="45" spans="2:15" ht="15.75" thickBot="1">
      <c r="E45" s="70">
        <v>3014</v>
      </c>
      <c r="F45" s="73" t="s">
        <v>311</v>
      </c>
      <c r="G45" s="75">
        <f>SUM(E45/G40)*(12*60/1000)*22.351-11.288</f>
        <v>67.196560000000005</v>
      </c>
      <c r="H45" s="75">
        <f>SUM(E45/H40)*(12*60/1000)*22.351-11.288</f>
        <v>51.703503999999995</v>
      </c>
      <c r="I45" s="76">
        <f>SUM(E45/I40)*(12*60/1000)*22.351-11.288</f>
        <v>55.891304819944608</v>
      </c>
      <c r="J45" s="75">
        <f>SUM(E45/J40)*(12*60/1000)*22.351-11.288</f>
        <v>65.579603930269414</v>
      </c>
      <c r="K45" s="75">
        <f>SUM(E45/K40)*(12*60/1000)*22.351-11.288</f>
        <v>55.613321489655164</v>
      </c>
      <c r="L45" s="76">
        <f>SUM(E45/L40)*(12*60/1000)*22.351-11.288</f>
        <v>70.643517027027016</v>
      </c>
      <c r="M45" s="75">
        <f>SUM(E45/M40)*(12*60/1000)*22.351-11.288</f>
        <v>55.155093260273972</v>
      </c>
      <c r="O45" s="37"/>
    </row>
    <row r="46" spans="2:15" ht="15.75" thickTop="1">
      <c r="I46"/>
      <c r="J46"/>
      <c r="K46"/>
      <c r="L46"/>
      <c r="M46"/>
      <c r="N46"/>
    </row>
    <row r="47" spans="2:15">
      <c r="M47"/>
      <c r="N47"/>
    </row>
    <row r="48" spans="2:15" ht="15.75" thickBot="1">
      <c r="L48"/>
      <c r="M48"/>
      <c r="N48"/>
    </row>
    <row r="49" spans="4:14">
      <c r="D49" s="16">
        <v>2015</v>
      </c>
      <c r="E49" s="100" t="s">
        <v>335</v>
      </c>
      <c r="G49"/>
      <c r="H49"/>
      <c r="I49"/>
      <c r="J49"/>
      <c r="K49" s="104"/>
      <c r="L49"/>
      <c r="M49"/>
      <c r="N49"/>
    </row>
    <row r="50" spans="4:14" ht="30.75">
      <c r="D50" s="95" t="s">
        <v>314</v>
      </c>
      <c r="E50" s="101" t="s">
        <v>315</v>
      </c>
      <c r="F50" s="96" t="s">
        <v>336</v>
      </c>
      <c r="G50" s="97" t="s">
        <v>316</v>
      </c>
      <c r="H50" s="97" t="s">
        <v>317</v>
      </c>
      <c r="I50" s="96" t="s">
        <v>270</v>
      </c>
      <c r="J50" s="96" t="s">
        <v>318</v>
      </c>
      <c r="K50" s="105" t="s">
        <v>311</v>
      </c>
      <c r="L50" s="106" t="s">
        <v>337</v>
      </c>
      <c r="M50"/>
      <c r="N50"/>
    </row>
    <row r="51" spans="4:14">
      <c r="D51" s="91" t="s">
        <v>264</v>
      </c>
      <c r="E51" s="102" t="s">
        <v>319</v>
      </c>
      <c r="F51" s="91" t="s">
        <v>320</v>
      </c>
      <c r="G51" s="92">
        <v>37171</v>
      </c>
      <c r="H51" s="93" t="s">
        <v>321</v>
      </c>
      <c r="I51" s="94">
        <v>3.0193287037037033E-3</v>
      </c>
      <c r="J51" s="91" t="s">
        <v>322</v>
      </c>
      <c r="K51" s="102" t="s">
        <v>323</v>
      </c>
      <c r="L51" s="98" t="s">
        <v>338</v>
      </c>
      <c r="M51"/>
    </row>
    <row r="52" spans="4:14">
      <c r="D52" s="91" t="s">
        <v>324</v>
      </c>
      <c r="E52" s="102" t="s">
        <v>325</v>
      </c>
      <c r="F52" s="91" t="s">
        <v>326</v>
      </c>
      <c r="G52" s="92">
        <v>37342</v>
      </c>
      <c r="H52" s="93" t="s">
        <v>327</v>
      </c>
      <c r="I52" s="94">
        <v>3.1269675925925926E-3</v>
      </c>
      <c r="J52" s="91" t="s">
        <v>328</v>
      </c>
      <c r="K52" s="102" t="s">
        <v>329</v>
      </c>
      <c r="L52" s="99" t="s">
        <v>339</v>
      </c>
      <c r="M52"/>
    </row>
    <row r="53" spans="4:14" ht="15.75" thickBot="1">
      <c r="D53" s="91" t="s">
        <v>266</v>
      </c>
      <c r="E53" s="103" t="s">
        <v>330</v>
      </c>
      <c r="F53" s="91" t="s">
        <v>331</v>
      </c>
      <c r="G53" s="92">
        <v>37713</v>
      </c>
      <c r="H53" s="93" t="s">
        <v>332</v>
      </c>
      <c r="I53" s="94">
        <v>3.2679398148148151E-3</v>
      </c>
      <c r="J53" s="91" t="s">
        <v>333</v>
      </c>
      <c r="K53" s="103" t="s">
        <v>334</v>
      </c>
      <c r="L53" s="99" t="s">
        <v>339</v>
      </c>
      <c r="M53"/>
    </row>
    <row r="55" spans="4:14">
      <c r="E55" s="78">
        <v>0.53333333333333333</v>
      </c>
      <c r="F55" s="79">
        <v>3014</v>
      </c>
      <c r="G55" s="80">
        <f>SUM(12*60+48)</f>
        <v>768</v>
      </c>
      <c r="H55" s="81">
        <f>SUM(F55)/G55</f>
        <v>3.9244791666666665</v>
      </c>
      <c r="I55" s="80">
        <f t="shared" ref="I55:I56" si="0">SUM(12*60)</f>
        <v>720</v>
      </c>
      <c r="J55" s="81">
        <f>SUM(H55*I55)/1000</f>
        <v>2.8256250000000001</v>
      </c>
      <c r="K55" s="81">
        <f>SUM(22.351*J55)-11.288</f>
        <v>51.867544374999994</v>
      </c>
    </row>
    <row r="56" spans="4:14">
      <c r="E56" s="88">
        <v>0.18402777777777779</v>
      </c>
      <c r="F56" s="89">
        <v>1500</v>
      </c>
      <c r="G56" s="89">
        <f>SUM(4*60+25)</f>
        <v>265</v>
      </c>
      <c r="H56" s="90">
        <f>SUM(F56)/G56</f>
        <v>5.6603773584905657</v>
      </c>
      <c r="I56" s="89">
        <f t="shared" si="0"/>
        <v>720</v>
      </c>
      <c r="J56" s="90">
        <f>SUM(H56*I56)/1000</f>
        <v>4.0754716981132075</v>
      </c>
      <c r="K56" s="90">
        <f>SUM(22.351*J56)-11.288</f>
        <v>79.8028679245283</v>
      </c>
    </row>
  </sheetData>
  <pageMargins left="0" right="0" top="0" bottom="0" header="0.31496062992125984" footer="0.31496062992125984"/>
  <pageSetup paperSize="9" scale="8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W557"/>
  <sheetViews>
    <sheetView showGridLines="0" tabSelected="1" workbookViewId="0"/>
  </sheetViews>
  <sheetFormatPr defaultRowHeight="15"/>
  <cols>
    <col min="1" max="1" width="1.5703125" customWidth="1"/>
    <col min="2" max="2" width="10.140625" customWidth="1"/>
    <col min="3" max="3" width="5.42578125" customWidth="1"/>
    <col min="4" max="4" width="7.42578125" customWidth="1"/>
    <col min="5" max="5" width="17.42578125" customWidth="1"/>
    <col min="6" max="6" width="2" customWidth="1"/>
    <col min="7" max="7" width="23.140625" customWidth="1"/>
    <col min="8" max="8" width="9.42578125" style="16" customWidth="1"/>
    <col min="9" max="9" width="0.7109375" style="16" customWidth="1"/>
    <col min="10" max="10" width="8.85546875" style="16" customWidth="1"/>
    <col min="11" max="11" width="9.5703125" style="16" customWidth="1"/>
    <col min="12" max="12" width="9.28515625" style="16" customWidth="1"/>
    <col min="13" max="13" width="8.28515625" style="16" customWidth="1"/>
    <col min="14" max="14" width="10.28515625" style="16" customWidth="1"/>
    <col min="15" max="15" width="9.42578125" style="16" customWidth="1"/>
    <col min="16" max="16" width="9.140625" style="16" customWidth="1"/>
    <col min="17" max="17" width="0.7109375" style="16" customWidth="1"/>
    <col min="18" max="18" width="8.7109375" customWidth="1"/>
    <col min="19" max="19" width="8.140625" customWidth="1"/>
    <col min="20" max="20" width="10" bestFit="1" customWidth="1"/>
    <col min="21" max="21" width="0.7109375" customWidth="1"/>
    <col min="22" max="22" width="8.28515625" bestFit="1" customWidth="1"/>
    <col min="23" max="23" width="6.42578125" customWidth="1"/>
  </cols>
  <sheetData>
    <row r="1" spans="1:23" ht="15.75" thickBot="1"/>
    <row r="2" spans="1:23" ht="21" thickBot="1">
      <c r="D2" s="512"/>
      <c r="E2" s="513" t="s">
        <v>1213</v>
      </c>
      <c r="F2" s="514"/>
      <c r="G2" s="514"/>
      <c r="H2" s="515"/>
      <c r="I2" s="515"/>
      <c r="J2" s="515"/>
      <c r="K2" s="515"/>
      <c r="L2" s="515"/>
      <c r="M2" s="516"/>
      <c r="O2"/>
      <c r="P2"/>
    </row>
    <row r="3" spans="1:23">
      <c r="G3" s="484" t="s">
        <v>1214</v>
      </c>
      <c r="P3"/>
    </row>
    <row r="4" spans="1:23">
      <c r="G4" s="484"/>
      <c r="R4" s="645">
        <f>SUM(2989.5)+(3018*6)</f>
        <v>21097.5</v>
      </c>
    </row>
    <row r="5" spans="1:23" ht="15.75" thickBot="1">
      <c r="F5" s="157"/>
      <c r="G5" s="145"/>
      <c r="H5" s="108"/>
      <c r="I5" s="108"/>
      <c r="J5" s="71">
        <f>SUM(13*60+15)</f>
        <v>795</v>
      </c>
      <c r="K5" s="258">
        <f>SUM(13*60+13)</f>
        <v>793</v>
      </c>
      <c r="L5" s="258">
        <f>SUM(14*60+21)</f>
        <v>861</v>
      </c>
      <c r="M5" s="258">
        <f>SUM(12*60+43)</f>
        <v>763</v>
      </c>
      <c r="N5" s="258">
        <f>SUM(15*60+59)</f>
        <v>959</v>
      </c>
      <c r="O5" s="258">
        <f>SUM(12*60+5)</f>
        <v>725</v>
      </c>
      <c r="P5" s="258">
        <f>SUM(11*60+42)</f>
        <v>702</v>
      </c>
      <c r="Q5" s="634"/>
      <c r="R5" s="114">
        <f>SUM(J5:P5)/(21.0975)-240</f>
        <v>25.339495200853207</v>
      </c>
      <c r="S5" s="181"/>
    </row>
    <row r="6" spans="1:23">
      <c r="B6" s="21" t="s">
        <v>1265</v>
      </c>
      <c r="F6" s="157"/>
      <c r="G6" s="693" t="s">
        <v>1367</v>
      </c>
      <c r="H6" s="575" t="s">
        <v>282</v>
      </c>
      <c r="I6" s="121"/>
      <c r="J6" s="179" t="s">
        <v>1309</v>
      </c>
      <c r="K6" s="179" t="s">
        <v>1307</v>
      </c>
      <c r="L6" s="179" t="s">
        <v>283</v>
      </c>
      <c r="M6" s="179" t="s">
        <v>468</v>
      </c>
      <c r="N6" s="179" t="s">
        <v>1308</v>
      </c>
      <c r="O6" s="179" t="s">
        <v>287</v>
      </c>
      <c r="P6" s="179" t="s">
        <v>1120</v>
      </c>
      <c r="Q6" s="179"/>
      <c r="R6" s="736" t="s">
        <v>1350</v>
      </c>
      <c r="S6" s="114">
        <f>SUM(49+10+13+44+66+14+19)/7</f>
        <v>30.714285714285715</v>
      </c>
    </row>
    <row r="7" spans="1:23" ht="15.75" thickBot="1">
      <c r="B7" s="194" t="s">
        <v>309</v>
      </c>
      <c r="C7" s="108"/>
      <c r="F7" s="157"/>
      <c r="G7" s="51" t="s">
        <v>293</v>
      </c>
      <c r="H7" s="576" t="s">
        <v>291</v>
      </c>
      <c r="I7" s="55"/>
      <c r="J7" s="176" t="s">
        <v>268</v>
      </c>
      <c r="K7" s="649" t="s">
        <v>1339</v>
      </c>
      <c r="L7" s="176" t="s">
        <v>1186</v>
      </c>
      <c r="M7" s="121" t="s">
        <v>1341</v>
      </c>
      <c r="N7" s="121" t="s">
        <v>267</v>
      </c>
      <c r="O7" s="121" t="s">
        <v>1310</v>
      </c>
      <c r="P7" s="121" t="s">
        <v>324</v>
      </c>
      <c r="Q7" s="176"/>
      <c r="R7" s="113" t="s">
        <v>279</v>
      </c>
      <c r="S7" s="456"/>
    </row>
    <row r="8" spans="1:23" ht="15.75" thickBot="1">
      <c r="B8" s="196" t="s">
        <v>122</v>
      </c>
      <c r="C8" s="577">
        <f>SUM(13*60+29)</f>
        <v>809</v>
      </c>
      <c r="E8" s="643"/>
      <c r="F8" s="157"/>
      <c r="G8" s="146">
        <v>2021</v>
      </c>
      <c r="H8" s="457" t="s">
        <v>269</v>
      </c>
      <c r="I8" s="460"/>
      <c r="J8" s="182" t="s">
        <v>31</v>
      </c>
      <c r="K8" s="182" t="s">
        <v>604</v>
      </c>
      <c r="L8" s="182" t="s">
        <v>626</v>
      </c>
      <c r="M8" s="182" t="s">
        <v>348</v>
      </c>
      <c r="N8" s="182" t="s">
        <v>160</v>
      </c>
      <c r="O8" s="182" t="s">
        <v>49</v>
      </c>
      <c r="P8" s="182" t="s">
        <v>38</v>
      </c>
      <c r="Q8" s="182"/>
      <c r="R8" s="737" t="s">
        <v>1351</v>
      </c>
      <c r="S8" s="629">
        <v>8</v>
      </c>
    </row>
    <row r="9" spans="1:23">
      <c r="B9" s="128" t="s">
        <v>1374</v>
      </c>
      <c r="C9" s="181">
        <f>SUM(C8)/2991*1000-60*4</f>
        <v>30.478100969575394</v>
      </c>
      <c r="E9" s="570">
        <f>SUM(E8)/3017.5*1000-60*4</f>
        <v>-240</v>
      </c>
      <c r="F9" s="157"/>
      <c r="G9" s="321" t="s">
        <v>1338</v>
      </c>
      <c r="H9" s="576" t="s">
        <v>270</v>
      </c>
      <c r="I9" s="55"/>
      <c r="J9" s="129" t="s">
        <v>1360</v>
      </c>
      <c r="K9" s="627" t="s">
        <v>1361</v>
      </c>
      <c r="L9" s="129" t="s">
        <v>1362</v>
      </c>
      <c r="M9" s="627" t="s">
        <v>1363</v>
      </c>
      <c r="N9" s="129" t="s">
        <v>1364</v>
      </c>
      <c r="O9" s="627" t="s">
        <v>1365</v>
      </c>
      <c r="P9" s="627" t="s">
        <v>1366</v>
      </c>
      <c r="Q9" s="129"/>
      <c r="R9" s="129" t="s">
        <v>1352</v>
      </c>
      <c r="S9" s="628" t="s">
        <v>1353</v>
      </c>
    </row>
    <row r="10" spans="1:23" ht="15.75" thickBot="1">
      <c r="B10" s="141" t="s">
        <v>803</v>
      </c>
      <c r="F10" s="157"/>
      <c r="G10" s="378">
        <v>3018</v>
      </c>
      <c r="H10" s="82" t="s">
        <v>311</v>
      </c>
      <c r="I10" s="465"/>
      <c r="J10" s="384">
        <f>SUM(G11/J5)*(12*60/1000)*22.351-11.288</f>
        <v>49.226699924528305</v>
      </c>
      <c r="K10" s="384">
        <f>SUM(G10/K5)*(12*60/1000)*22.351-11.288</f>
        <v>49.957685952080695</v>
      </c>
      <c r="L10" s="74">
        <f>SUM(G10/L5)*(12*60/1000)*22.351-11.288</f>
        <v>45.120628292682923</v>
      </c>
      <c r="M10" s="74">
        <f>SUM(G10/M5)*(12*60/1000)*22.351-11.288</f>
        <v>52.36577321100917</v>
      </c>
      <c r="N10" s="74">
        <f>SUM(G10/N5)*(12*60/1000)*22.351-11.288</f>
        <v>39.356242919708023</v>
      </c>
      <c r="O10" s="74">
        <f>SUM(G10/O5)*(12*60/1000)*22.351-11.288</f>
        <v>55.702108910344819</v>
      </c>
      <c r="P10" s="74">
        <f>SUM(G10/P5)*(12*60/1000)*22.351-11.288</f>
        <v>57.896941538461533</v>
      </c>
      <c r="Q10" s="580"/>
      <c r="R10" s="114">
        <f>SUM(93*60+18)/(21097.5)*1000-240</f>
        <v>25.339495200853207</v>
      </c>
      <c r="S10" s="72">
        <f>SUM(21.0975)/(93*60+18)*3600</f>
        <v>13.567524115755626</v>
      </c>
    </row>
    <row r="11" spans="1:23">
      <c r="F11" s="157"/>
      <c r="G11" s="379" t="s">
        <v>1337</v>
      </c>
      <c r="H11" s="630"/>
      <c r="I11" s="630"/>
      <c r="J11" s="473">
        <f>SUM(J5)/G11*1000-240</f>
        <v>25.930757651781278</v>
      </c>
      <c r="K11" s="114">
        <f>SUM(K5)/G10*1000-240</f>
        <v>22.756792577866179</v>
      </c>
      <c r="L11" s="114">
        <f>SUM(L5)/G10*1000-240</f>
        <v>45.288270377733568</v>
      </c>
      <c r="M11" s="275">
        <f>SUM(M5)/G10*1000-240</f>
        <v>12.816434724983452</v>
      </c>
      <c r="N11" s="275">
        <f>SUM(N5)/G10*1000-300</f>
        <v>17.760106030483769</v>
      </c>
      <c r="O11" s="275">
        <f>SUM(O5)/G10*1000-240</f>
        <v>0.22531477799864774</v>
      </c>
      <c r="P11" s="275">
        <f>SUM(P5)/G10*1000-180</f>
        <v>52.604373757455278</v>
      </c>
      <c r="Q11" s="631"/>
      <c r="R11" s="632"/>
      <c r="S11" s="633"/>
    </row>
    <row r="12" spans="1:23" ht="15.75" thickBot="1">
      <c r="A12" s="363"/>
      <c r="F12" s="157"/>
      <c r="G12" s="145"/>
      <c r="H12" s="108"/>
      <c r="I12" s="108"/>
      <c r="J12" s="71">
        <f>SUM(13*60+14)</f>
        <v>794</v>
      </c>
      <c r="K12" s="258">
        <f>SUM(13*60+25)</f>
        <v>805</v>
      </c>
      <c r="L12" s="258">
        <f>SUM(14*60+15)</f>
        <v>855</v>
      </c>
      <c r="M12" s="258">
        <f>SUM(16*60+24)</f>
        <v>984</v>
      </c>
      <c r="N12" s="258">
        <f>SUM(13*60+31)</f>
        <v>811</v>
      </c>
      <c r="O12" s="258">
        <f>SUM(12*60+1)</f>
        <v>721</v>
      </c>
      <c r="P12" s="258">
        <f>SUM(15*60+40)</f>
        <v>940</v>
      </c>
      <c r="Q12" s="258"/>
      <c r="R12" s="114">
        <f>SUM(J12:P12)/(21.0975)-240</f>
        <v>40.127977248489174</v>
      </c>
      <c r="S12" s="181"/>
      <c r="T12" s="253"/>
      <c r="U12" s="253"/>
      <c r="V12" s="253"/>
      <c r="W12" s="253"/>
    </row>
    <row r="13" spans="1:23">
      <c r="A13" s="363"/>
      <c r="B13" s="21" t="s">
        <v>1170</v>
      </c>
      <c r="D13" s="21" t="s">
        <v>1265</v>
      </c>
      <c r="F13" s="157"/>
      <c r="G13" s="259" t="s">
        <v>1302</v>
      </c>
      <c r="H13" s="575" t="s">
        <v>282</v>
      </c>
      <c r="I13" s="121"/>
      <c r="J13" s="475" t="s">
        <v>1173</v>
      </c>
      <c r="K13" s="179" t="s">
        <v>1187</v>
      </c>
      <c r="L13" s="179" t="s">
        <v>285</v>
      </c>
      <c r="M13" s="179" t="s">
        <v>1171</v>
      </c>
      <c r="N13" s="179" t="s">
        <v>1172</v>
      </c>
      <c r="O13" s="179" t="s">
        <v>467</v>
      </c>
      <c r="P13" s="475" t="s">
        <v>1173</v>
      </c>
      <c r="Q13" s="179"/>
      <c r="R13" s="319" t="s">
        <v>1188</v>
      </c>
      <c r="S13" s="114">
        <f>SUM(20+8+11+64+47+17)/6</f>
        <v>27.833333333333332</v>
      </c>
      <c r="T13" s="181"/>
      <c r="U13" s="253"/>
      <c r="V13" s="253"/>
      <c r="W13" s="253"/>
    </row>
    <row r="14" spans="1:23">
      <c r="A14" s="363"/>
      <c r="B14" s="194" t="s">
        <v>309</v>
      </c>
      <c r="D14" s="113" t="s">
        <v>268</v>
      </c>
      <c r="F14" s="157"/>
      <c r="G14" s="51" t="s">
        <v>293</v>
      </c>
      <c r="H14" s="576" t="s">
        <v>291</v>
      </c>
      <c r="I14" s="55"/>
      <c r="J14" s="476" t="s">
        <v>341</v>
      </c>
      <c r="K14" s="121" t="s">
        <v>1185</v>
      </c>
      <c r="L14" s="176" t="s">
        <v>1186</v>
      </c>
      <c r="M14" s="121" t="s">
        <v>267</v>
      </c>
      <c r="N14" s="176" t="s">
        <v>268</v>
      </c>
      <c r="O14" s="121" t="s">
        <v>324</v>
      </c>
      <c r="P14" s="476" t="s">
        <v>341</v>
      </c>
      <c r="Q14" s="176"/>
      <c r="R14" s="270" t="s">
        <v>279</v>
      </c>
      <c r="S14" s="456"/>
      <c r="U14" s="253"/>
      <c r="V14" s="253"/>
      <c r="W14" s="253"/>
    </row>
    <row r="15" spans="1:23">
      <c r="A15" s="363"/>
      <c r="B15" s="196" t="s">
        <v>1300</v>
      </c>
      <c r="C15" s="71">
        <f>SUM(13*60+18)</f>
        <v>798</v>
      </c>
      <c r="D15" s="196" t="s">
        <v>225</v>
      </c>
      <c r="E15" s="569">
        <f>SUM(14*60+14)</f>
        <v>854</v>
      </c>
      <c r="F15" s="157"/>
      <c r="G15" s="146">
        <v>2019</v>
      </c>
      <c r="H15" s="457" t="s">
        <v>269</v>
      </c>
      <c r="I15" s="460"/>
      <c r="J15" s="477" t="s">
        <v>657</v>
      </c>
      <c r="K15" s="182" t="s">
        <v>168</v>
      </c>
      <c r="L15" s="182" t="s">
        <v>88</v>
      </c>
      <c r="M15" s="182" t="s">
        <v>674</v>
      </c>
      <c r="N15" s="182" t="s">
        <v>660</v>
      </c>
      <c r="O15" s="148" t="s">
        <v>1189</v>
      </c>
      <c r="P15" s="477" t="s">
        <v>1190</v>
      </c>
      <c r="Q15" s="182"/>
      <c r="R15" s="150" t="s">
        <v>1191</v>
      </c>
      <c r="S15" s="151">
        <v>17</v>
      </c>
      <c r="U15" s="253"/>
      <c r="V15" s="253"/>
      <c r="W15" s="253"/>
    </row>
    <row r="16" spans="1:23" ht="15.75" thickBot="1">
      <c r="A16" s="363"/>
      <c r="B16" s="128" t="s">
        <v>1301</v>
      </c>
      <c r="C16" s="114">
        <f>SUM(C15)/2991*1000-60*4</f>
        <v>26.800401203610818</v>
      </c>
      <c r="D16" s="128" t="s">
        <v>1266</v>
      </c>
      <c r="E16" s="570">
        <f>SUM(E15)/3017.5*1000-60*4</f>
        <v>43.015741507870757</v>
      </c>
      <c r="F16" s="157"/>
      <c r="G16" s="321" t="s">
        <v>1118</v>
      </c>
      <c r="H16" s="576" t="s">
        <v>270</v>
      </c>
      <c r="I16" s="55"/>
      <c r="J16" s="478" t="s">
        <v>1192</v>
      </c>
      <c r="K16" s="342" t="s">
        <v>1193</v>
      </c>
      <c r="L16" s="342" t="s">
        <v>1194</v>
      </c>
      <c r="M16" s="130" t="s">
        <v>1195</v>
      </c>
      <c r="N16" s="130" t="s">
        <v>1130</v>
      </c>
      <c r="O16" s="130" t="s">
        <v>1196</v>
      </c>
      <c r="P16" s="478" t="s">
        <v>1197</v>
      </c>
      <c r="Q16" s="130"/>
      <c r="R16" s="320" t="s">
        <v>1199</v>
      </c>
      <c r="S16" s="455" t="s">
        <v>1198</v>
      </c>
      <c r="U16" s="253"/>
      <c r="V16" s="253"/>
      <c r="W16" s="253"/>
    </row>
    <row r="17" spans="1:23" ht="15.75" thickBot="1">
      <c r="A17" s="363"/>
      <c r="B17" s="141" t="s">
        <v>1305</v>
      </c>
      <c r="D17" s="519" t="s">
        <v>1247</v>
      </c>
      <c r="F17" s="157"/>
      <c r="G17" s="378">
        <v>3017.5</v>
      </c>
      <c r="H17" s="82" t="s">
        <v>311</v>
      </c>
      <c r="I17" s="465"/>
      <c r="J17" s="384">
        <f>SUM(G18/J12)*(12*60/1000)*22.351-11.288</f>
        <v>49.333316775818631</v>
      </c>
      <c r="K17" s="384">
        <f>SUM(G17/K12)*(12*60/1000)*22.351-11.288</f>
        <v>49.034711304347823</v>
      </c>
      <c r="L17" s="74">
        <f>SUM(G17/L12)*(12*60/1000)*22.351-11.288</f>
        <v>45.507067368421048</v>
      </c>
      <c r="M17" s="74">
        <f>SUM(G17/M12)*(12*60/1000)*22.351-11.288</f>
        <v>38.061372560975599</v>
      </c>
      <c r="N17" s="74">
        <f>SUM(G17/N12)*(12*60/1000)*22.351-11.288</f>
        <v>48.588427373612816</v>
      </c>
      <c r="O17" s="74">
        <f>SUM(G17/O12)*(12*60/1000)*22.351-11.288</f>
        <v>56.062599999999989</v>
      </c>
      <c r="P17" s="74">
        <f>SUM(G17/P12)*(12*60/1000)*22.351-11.288</f>
        <v>40.371343191489359</v>
      </c>
      <c r="Q17" s="74"/>
      <c r="R17" s="114">
        <f>SUM(98*60+50)/(21097.5)*1000-240</f>
        <v>41.075956866927356</v>
      </c>
      <c r="S17" s="72">
        <f>SUM(21.0975)/(98*60+50)*3600</f>
        <v>12.807925801011804</v>
      </c>
      <c r="U17" s="253"/>
      <c r="V17" s="253"/>
      <c r="W17" s="253"/>
    </row>
    <row r="18" spans="1:23">
      <c r="A18" s="363"/>
      <c r="F18" s="157"/>
      <c r="G18" s="379" t="s">
        <v>1119</v>
      </c>
      <c r="H18" s="578"/>
      <c r="I18" s="578"/>
      <c r="J18" s="473">
        <f>SUM(J12)/G18*1000-240</f>
        <v>25.463055834169154</v>
      </c>
      <c r="K18" s="114">
        <f>SUM(K12)/G17*1000-240</f>
        <v>26.777133388566654</v>
      </c>
      <c r="L18" s="114">
        <f>SUM(L12)/G17*1000-240</f>
        <v>43.347141673570832</v>
      </c>
      <c r="M18" s="275">
        <f>SUM(M12)/G17*1000-300</f>
        <v>26.097763048881575</v>
      </c>
      <c r="N18" s="275">
        <f>SUM(N12)/G17*1000-240</f>
        <v>28.765534382767157</v>
      </c>
      <c r="O18" s="275">
        <f>SUM(O12)/G17*1000-180</f>
        <v>58.939519469759745</v>
      </c>
      <c r="P18" s="275">
        <f>SUM(P12)/G17*1000-300</f>
        <v>11.5161557580779</v>
      </c>
      <c r="Q18" s="275"/>
      <c r="R18" s="581"/>
      <c r="S18" s="458"/>
      <c r="U18" s="253"/>
      <c r="V18" s="253"/>
      <c r="W18" s="253"/>
    </row>
    <row r="19" spans="1:23" ht="15.75" thickBot="1">
      <c r="F19" s="157"/>
      <c r="G19" s="145"/>
      <c r="H19" s="108"/>
      <c r="I19" s="108"/>
      <c r="J19" s="474">
        <f>SUM(13*60+23)</f>
        <v>803</v>
      </c>
      <c r="K19" s="258">
        <f>SUM(15*60+10)</f>
        <v>910</v>
      </c>
      <c r="L19" s="258">
        <f>SUM(13*60+52)</f>
        <v>832</v>
      </c>
      <c r="M19" s="258">
        <f>SUM(12*60+51)</f>
        <v>771</v>
      </c>
      <c r="N19" s="258">
        <f>SUM(13*60+31)</f>
        <v>811</v>
      </c>
      <c r="O19" s="258">
        <f>SUM(16*60+13)</f>
        <v>973</v>
      </c>
      <c r="P19" s="258">
        <f>SUM(13*60+5)</f>
        <v>785</v>
      </c>
      <c r="Q19" s="258"/>
      <c r="R19" s="114">
        <f>SUM(J19:P19)/(21.0975)-240</f>
        <v>38.943002725441374</v>
      </c>
      <c r="S19" s="380"/>
      <c r="T19" s="391"/>
      <c r="U19" s="253"/>
      <c r="V19" s="253"/>
      <c r="W19" s="253"/>
    </row>
    <row r="20" spans="1:23">
      <c r="B20" s="21" t="s">
        <v>468</v>
      </c>
      <c r="F20" s="157"/>
      <c r="G20" s="69"/>
      <c r="H20" s="268" t="s">
        <v>282</v>
      </c>
      <c r="I20" s="461"/>
      <c r="J20" s="179" t="s">
        <v>466</v>
      </c>
      <c r="K20" s="179" t="s">
        <v>1000</v>
      </c>
      <c r="L20" s="179" t="s">
        <v>300</v>
      </c>
      <c r="M20" s="179" t="s">
        <v>344</v>
      </c>
      <c r="N20" s="328" t="s">
        <v>1120</v>
      </c>
      <c r="O20" s="329" t="s">
        <v>1120</v>
      </c>
      <c r="P20" s="179" t="s">
        <v>344</v>
      </c>
      <c r="Q20" s="179"/>
      <c r="R20" s="319" t="s">
        <v>1122</v>
      </c>
      <c r="S20" s="114">
        <f>SUM(15+63+46+16+19)/5</f>
        <v>31.8</v>
      </c>
      <c r="U20" s="253"/>
      <c r="V20" s="253"/>
      <c r="W20" s="253"/>
    </row>
    <row r="21" spans="1:23">
      <c r="B21" s="194" t="s">
        <v>309</v>
      </c>
      <c r="F21" s="157"/>
      <c r="G21" s="51" t="s">
        <v>293</v>
      </c>
      <c r="H21" s="269" t="s">
        <v>291</v>
      </c>
      <c r="I21" s="462"/>
      <c r="J21" s="176" t="s">
        <v>266</v>
      </c>
      <c r="K21" s="121" t="s">
        <v>267</v>
      </c>
      <c r="L21" s="176" t="s">
        <v>268</v>
      </c>
      <c r="M21" s="121" t="s">
        <v>324</v>
      </c>
      <c r="N21" s="330" t="s">
        <v>341</v>
      </c>
      <c r="O21" s="331" t="s">
        <v>341</v>
      </c>
      <c r="P21" s="127" t="s">
        <v>324</v>
      </c>
      <c r="Q21" s="127"/>
      <c r="R21" s="270" t="s">
        <v>279</v>
      </c>
      <c r="S21" s="351"/>
      <c r="U21" s="253"/>
      <c r="V21" s="253"/>
      <c r="W21" s="253"/>
    </row>
    <row r="22" spans="1:23">
      <c r="B22" s="709" t="s">
        <v>1154</v>
      </c>
      <c r="C22" s="139">
        <f>SUM(105.57*60)/21097.5*1000</f>
        <v>300.23462495556345</v>
      </c>
      <c r="F22" s="157"/>
      <c r="G22" s="146">
        <v>2018</v>
      </c>
      <c r="H22" s="147" t="s">
        <v>269</v>
      </c>
      <c r="I22" s="463"/>
      <c r="J22" s="182" t="s">
        <v>27</v>
      </c>
      <c r="K22" s="182" t="s">
        <v>239</v>
      </c>
      <c r="L22" s="182" t="s">
        <v>569</v>
      </c>
      <c r="M22" s="148" t="s">
        <v>120</v>
      </c>
      <c r="N22" s="332" t="s">
        <v>660</v>
      </c>
      <c r="O22" s="333" t="s">
        <v>1124</v>
      </c>
      <c r="P22" s="148" t="s">
        <v>491</v>
      </c>
      <c r="Q22" s="148"/>
      <c r="R22" s="150" t="s">
        <v>597</v>
      </c>
      <c r="S22" s="151">
        <v>14</v>
      </c>
      <c r="W22" s="253"/>
    </row>
    <row r="23" spans="1:23" ht="15.75" thickBot="1">
      <c r="B23" s="128" t="s">
        <v>1151</v>
      </c>
      <c r="C23" s="708" t="s">
        <v>293</v>
      </c>
      <c r="D23" s="707"/>
      <c r="F23" s="157"/>
      <c r="G23" s="321" t="s">
        <v>1118</v>
      </c>
      <c r="H23" s="269" t="s">
        <v>270</v>
      </c>
      <c r="I23" s="464"/>
      <c r="J23" s="342" t="s">
        <v>1126</v>
      </c>
      <c r="K23" s="130" t="s">
        <v>1127</v>
      </c>
      <c r="L23" s="130" t="s">
        <v>1131</v>
      </c>
      <c r="M23" s="130" t="s">
        <v>1129</v>
      </c>
      <c r="N23" s="334" t="s">
        <v>1130</v>
      </c>
      <c r="O23" s="335" t="s">
        <v>1132</v>
      </c>
      <c r="P23" s="130" t="s">
        <v>1128</v>
      </c>
      <c r="Q23" s="130"/>
      <c r="R23" s="320" t="s">
        <v>1125</v>
      </c>
      <c r="S23" s="455" t="s">
        <v>1184</v>
      </c>
      <c r="W23" s="253"/>
    </row>
    <row r="24" spans="1:23" ht="15.75" thickBot="1">
      <c r="B24" s="411" t="s">
        <v>1152</v>
      </c>
      <c r="C24" s="410" t="s">
        <v>270</v>
      </c>
      <c r="F24" s="157"/>
      <c r="G24" s="378">
        <v>3017.5</v>
      </c>
      <c r="H24" s="82" t="s">
        <v>311</v>
      </c>
      <c r="I24" s="465"/>
      <c r="J24" s="384">
        <f>SUM(G25/J19)*(12*60/1000)*22.351-11.288</f>
        <v>48.65387486924034</v>
      </c>
      <c r="K24" s="384">
        <f>SUM(G24/K19)*(12*60/1000)*22.351-11.288</f>
        <v>42.074398461538465</v>
      </c>
      <c r="L24" s="74">
        <f>SUM(G24/L19)*(12*60/1000)*22.351-11.288</f>
        <v>47.077123317307695</v>
      </c>
      <c r="M24" s="74">
        <f>SUM(G24/M19)*(12*60/1000)*22.351-11.288</f>
        <v>51.694856809338518</v>
      </c>
      <c r="N24" s="74">
        <f>SUM(G24/N19)*(12*60/1000)*22.351-11.288</f>
        <v>48.588427373612816</v>
      </c>
      <c r="O24" s="74">
        <f>SUM(G24/O19)*(12*60/1000)*22.351-11.288</f>
        <v>38.619279136690636</v>
      </c>
      <c r="P24" s="74">
        <f>SUM(G24/P19)*(12*60/1000)*22.351-11.288</f>
        <v>50.571595668789797</v>
      </c>
      <c r="Q24" s="74"/>
      <c r="R24" s="114">
        <f>SUM(98*60+5)/(21097.5)*1000-240</f>
        <v>38.943002725441431</v>
      </c>
      <c r="S24" s="72">
        <f>SUM(21.0975)/(98*60+5)*3600</f>
        <v>12.905862361937128</v>
      </c>
      <c r="U24" s="253"/>
      <c r="V24" s="253"/>
      <c r="W24" s="253"/>
    </row>
    <row r="25" spans="1:23">
      <c r="F25" s="157"/>
      <c r="G25" s="379" t="s">
        <v>1119</v>
      </c>
      <c r="H25" s="256"/>
      <c r="I25" s="256"/>
      <c r="J25" s="473">
        <f>SUM(J19)/G25*1000-240</f>
        <v>28.472082915412898</v>
      </c>
      <c r="K25" s="114">
        <f>SUM(K19)/G24*1000-300</f>
        <v>1.5741507870753821</v>
      </c>
      <c r="L25" s="114">
        <f>SUM(L19)/G24*1000-240</f>
        <v>35.724937862468948</v>
      </c>
      <c r="M25" s="275">
        <f>SUM(M19)/G24*1000-240</f>
        <v>15.509527754763866</v>
      </c>
      <c r="N25" s="275">
        <f>SUM(N19)/G24*1000-240</f>
        <v>28.765534382767157</v>
      </c>
      <c r="O25" s="275">
        <f>SUM(O19)/G24*1000-300</f>
        <v>22.452361226180585</v>
      </c>
      <c r="P25" s="275">
        <f>SUM(P19)/G24*1000-240</f>
        <v>20.149130074565051</v>
      </c>
      <c r="Q25" s="275"/>
      <c r="R25" s="257"/>
      <c r="S25" s="157"/>
      <c r="U25" s="253"/>
      <c r="V25" s="253"/>
      <c r="W25" s="253"/>
    </row>
    <row r="26" spans="1:23" ht="15.75" thickBot="1">
      <c r="B26" s="251"/>
      <c r="C26" s="251"/>
      <c r="D26" s="251"/>
      <c r="E26" s="353"/>
      <c r="F26" s="157"/>
      <c r="H26"/>
      <c r="I26"/>
      <c r="J26" s="474">
        <f>SUM(19*60+5)</f>
        <v>1145</v>
      </c>
      <c r="K26" s="258">
        <f>SUM(18*60+9)</f>
        <v>1089</v>
      </c>
      <c r="L26" s="258">
        <f>SUM(17*60+22)</f>
        <v>1042</v>
      </c>
      <c r="M26" s="258">
        <f>SUM(17*60+22)</f>
        <v>1042</v>
      </c>
      <c r="N26" s="258">
        <f>SUM(14*60+40)</f>
        <v>880</v>
      </c>
      <c r="O26" s="258">
        <f>SUM(16*60+25)</f>
        <v>985</v>
      </c>
      <c r="P26" s="392"/>
      <c r="Q26" s="392"/>
      <c r="R26" s="114">
        <f>SUM(J26:O26)/(21.0975)-240</f>
        <v>53.06789904017063</v>
      </c>
      <c r="S26" s="114">
        <f>SUM(63+62+45+15+18)/5</f>
        <v>40.6</v>
      </c>
      <c r="W26" s="253"/>
    </row>
    <row r="27" spans="1:23">
      <c r="B27" s="21" t="s">
        <v>1026</v>
      </c>
      <c r="D27" s="251"/>
      <c r="E27" s="252"/>
      <c r="F27" s="157"/>
      <c r="G27" s="69"/>
      <c r="H27" s="268" t="s">
        <v>282</v>
      </c>
      <c r="I27" s="461"/>
      <c r="J27" s="179" t="s">
        <v>1000</v>
      </c>
      <c r="K27" s="179" t="s">
        <v>1024</v>
      </c>
      <c r="L27" s="328" t="s">
        <v>1023</v>
      </c>
      <c r="M27" s="329" t="s">
        <v>1023</v>
      </c>
      <c r="N27" s="179" t="s">
        <v>466</v>
      </c>
      <c r="O27" s="178" t="s">
        <v>1022</v>
      </c>
      <c r="R27" s="319" t="s">
        <v>1150</v>
      </c>
      <c r="S27" s="114">
        <f>SUM(63+62+45+15+18)/5</f>
        <v>40.6</v>
      </c>
      <c r="W27" s="253"/>
    </row>
    <row r="28" spans="1:23">
      <c r="B28" s="194" t="s">
        <v>309</v>
      </c>
      <c r="D28" s="251"/>
      <c r="E28" s="252"/>
      <c r="F28" s="157"/>
      <c r="G28" s="51" t="s">
        <v>293</v>
      </c>
      <c r="H28" s="269" t="s">
        <v>291</v>
      </c>
      <c r="I28" s="464"/>
      <c r="J28" s="121" t="s">
        <v>1030</v>
      </c>
      <c r="K28" s="127" t="s">
        <v>267</v>
      </c>
      <c r="L28" s="330" t="s">
        <v>268</v>
      </c>
      <c r="M28" s="331" t="s">
        <v>268</v>
      </c>
      <c r="N28" s="127" t="s">
        <v>324</v>
      </c>
      <c r="O28" s="176" t="s">
        <v>341</v>
      </c>
      <c r="R28" s="270" t="s">
        <v>279</v>
      </c>
      <c r="S28" s="351"/>
      <c r="W28" s="253"/>
    </row>
    <row r="29" spans="1:23">
      <c r="B29" s="196" t="s">
        <v>1042</v>
      </c>
      <c r="C29" s="71">
        <f>SUM(16*60+14)</f>
        <v>974</v>
      </c>
      <c r="D29" s="251"/>
      <c r="E29" s="252"/>
      <c r="F29" s="157"/>
      <c r="G29" s="146">
        <v>2017</v>
      </c>
      <c r="H29" s="147" t="s">
        <v>269</v>
      </c>
      <c r="I29" s="463"/>
      <c r="J29" s="182" t="s">
        <v>798</v>
      </c>
      <c r="K29" s="148" t="s">
        <v>1036</v>
      </c>
      <c r="L29" s="332" t="s">
        <v>1029</v>
      </c>
      <c r="M29" s="333" t="s">
        <v>1029</v>
      </c>
      <c r="N29" s="148" t="s">
        <v>167</v>
      </c>
      <c r="O29" s="148" t="s">
        <v>691</v>
      </c>
      <c r="P29" s="151"/>
      <c r="Q29" s="151"/>
      <c r="R29" s="150" t="s">
        <v>1035</v>
      </c>
      <c r="S29" s="151">
        <v>19</v>
      </c>
      <c r="T29" s="108"/>
      <c r="W29" s="253"/>
    </row>
    <row r="30" spans="1:23" ht="15.75" thickBot="1">
      <c r="B30" s="128" t="s">
        <v>1043</v>
      </c>
      <c r="C30" s="141" t="s">
        <v>803</v>
      </c>
      <c r="D30" s="251"/>
      <c r="E30" s="252"/>
      <c r="F30" s="157"/>
      <c r="G30" s="321" t="s">
        <v>1027</v>
      </c>
      <c r="H30" s="269" t="s">
        <v>270</v>
      </c>
      <c r="I30" s="464"/>
      <c r="J30" s="342" t="s">
        <v>1041</v>
      </c>
      <c r="K30" s="130" t="s">
        <v>1037</v>
      </c>
      <c r="L30" s="334" t="s">
        <v>1038</v>
      </c>
      <c r="M30" s="335" t="s">
        <v>1038</v>
      </c>
      <c r="N30" s="110" t="s">
        <v>1039</v>
      </c>
      <c r="O30" s="130" t="s">
        <v>1040</v>
      </c>
      <c r="P30" s="135"/>
      <c r="Q30" s="135"/>
      <c r="R30" s="320" t="s">
        <v>1034</v>
      </c>
      <c r="S30" s="455" t="s">
        <v>1183</v>
      </c>
      <c r="W30" s="253"/>
    </row>
    <row r="31" spans="1:23" ht="15.75" thickBot="1">
      <c r="E31" s="252"/>
      <c r="F31" s="157"/>
      <c r="G31" s="378">
        <v>3460</v>
      </c>
      <c r="H31" s="82" t="s">
        <v>311</v>
      </c>
      <c r="I31" s="465"/>
      <c r="J31" s="384">
        <f>SUM(G32/J26)*(12*60/1000)*22.351-11.288</f>
        <v>42.085016768558944</v>
      </c>
      <c r="K31" s="74">
        <f>SUM(G31/K26)*(12*60/1000)*22.351-11.288</f>
        <v>39.842221487603297</v>
      </c>
      <c r="L31" s="74">
        <f>SUM(G31/L26)*(12*60/1000)*22.351-11.288</f>
        <v>42.148479078694805</v>
      </c>
      <c r="M31" s="74">
        <f>SUM(G31/M26)*(12*60/1000)*22.351-11.288</f>
        <v>42.148479078694805</v>
      </c>
      <c r="N31" s="74">
        <f>SUM(G31/N26)*(12*60/1000)*22.351-11.288</f>
        <v>51.985649090909078</v>
      </c>
      <c r="O31" s="74">
        <f>SUM(G31/O26)*(12*60/1000)*22.351-11.288</f>
        <v>45.240742335025374</v>
      </c>
      <c r="R31" s="114">
        <f>SUM(103*60+3)/(21097.5)*1000-240</f>
        <v>53.06789904017063</v>
      </c>
      <c r="S31" s="72">
        <f>SUM(21.0975)/(103*60+3)*3600</f>
        <v>12.283842794759824</v>
      </c>
      <c r="W31" s="253"/>
    </row>
    <row r="32" spans="1:23">
      <c r="B32" s="114">
        <f>SUM(C29)/G32*1000-240</f>
        <v>16.484529295589198</v>
      </c>
      <c r="C32" s="254"/>
      <c r="D32" s="255"/>
      <c r="E32" s="157"/>
      <c r="F32" s="157"/>
      <c r="G32" s="379" t="s">
        <v>1028</v>
      </c>
      <c r="H32" s="256"/>
      <c r="I32" s="256"/>
      <c r="J32" s="114">
        <f>SUM(J26)/G32*1000-300</f>
        <v>1.514154048716307</v>
      </c>
      <c r="K32" s="114">
        <f>SUM(K26)/G31*1000-300</f>
        <v>14.739884393063619</v>
      </c>
      <c r="L32" s="114">
        <f>SUM(L26)/G31*1000-300</f>
        <v>1.1560693641618514</v>
      </c>
      <c r="M32" s="114">
        <f>SUM(M26)/G31*1000-300</f>
        <v>1.1560693641618514</v>
      </c>
      <c r="N32" s="114">
        <f>SUM(N26)/G31*1000-240</f>
        <v>14.335260115606928</v>
      </c>
      <c r="O32" s="114">
        <f>SUM(O26)/G31*1000-240</f>
        <v>44.682080924855484</v>
      </c>
      <c r="P32" s="256"/>
      <c r="Q32" s="256"/>
      <c r="R32" s="257"/>
      <c r="S32" s="157"/>
      <c r="W32" s="157"/>
    </row>
    <row r="33" spans="2:21" ht="15.75" thickBot="1">
      <c r="B33" s="3"/>
      <c r="C33" s="4"/>
      <c r="D33" s="2"/>
      <c r="H33" s="108"/>
      <c r="I33" s="108"/>
      <c r="J33" s="71">
        <f>SUM(12*60+41)</f>
        <v>761</v>
      </c>
      <c r="K33" s="72">
        <f>SUM(12*60+50)</f>
        <v>770</v>
      </c>
      <c r="L33" s="258">
        <f>SUM(13*60+55)</f>
        <v>835</v>
      </c>
      <c r="M33" s="258">
        <f>SUM(15*60+37)</f>
        <v>937</v>
      </c>
      <c r="N33" s="258">
        <f>SUM(13*60+6)</f>
        <v>786</v>
      </c>
      <c r="O33" s="258">
        <f>SUM(13*60+37)</f>
        <v>817</v>
      </c>
      <c r="P33" s="258">
        <f>SUM(15*60+23)</f>
        <v>923</v>
      </c>
      <c r="Q33" s="258"/>
      <c r="R33" s="114">
        <f>SUM(J33:P33)/(21.0975)-240</f>
        <v>36.288659793814418</v>
      </c>
    </row>
    <row r="34" spans="2:21">
      <c r="B34" s="21" t="s">
        <v>1017</v>
      </c>
      <c r="E34" s="252"/>
      <c r="G34" s="259" t="s">
        <v>1303</v>
      </c>
      <c r="H34" s="268" t="s">
        <v>282</v>
      </c>
      <c r="I34" s="113"/>
      <c r="J34" s="178" t="s">
        <v>288</v>
      </c>
      <c r="K34" s="178" t="s">
        <v>467</v>
      </c>
      <c r="L34" s="178" t="s">
        <v>466</v>
      </c>
      <c r="M34" s="178" t="s">
        <v>283</v>
      </c>
      <c r="N34" s="179" t="s">
        <v>287</v>
      </c>
      <c r="O34" s="179" t="s">
        <v>468</v>
      </c>
      <c r="P34" s="179" t="s">
        <v>284</v>
      </c>
      <c r="Q34" s="180"/>
      <c r="R34" s="319" t="s">
        <v>469</v>
      </c>
      <c r="S34" s="114">
        <f>SUM(42+17+15+13+14+44+61)/7</f>
        <v>29.428571428571427</v>
      </c>
    </row>
    <row r="35" spans="2:21">
      <c r="B35" s="194" t="s">
        <v>1304</v>
      </c>
      <c r="G35" s="51" t="s">
        <v>1002</v>
      </c>
      <c r="H35" s="269" t="s">
        <v>291</v>
      </c>
      <c r="I35" s="462"/>
      <c r="J35" s="121" t="s">
        <v>309</v>
      </c>
      <c r="K35" s="176" t="s">
        <v>341</v>
      </c>
      <c r="L35" s="176" t="s">
        <v>264</v>
      </c>
      <c r="M35" s="177" t="s">
        <v>266</v>
      </c>
      <c r="N35" s="127" t="s">
        <v>324</v>
      </c>
      <c r="O35" s="176" t="s">
        <v>268</v>
      </c>
      <c r="P35" s="121" t="s">
        <v>267</v>
      </c>
      <c r="Q35" s="127"/>
      <c r="R35" s="270" t="s">
        <v>279</v>
      </c>
      <c r="S35" s="37"/>
    </row>
    <row r="36" spans="2:21">
      <c r="B36" s="571" t="s">
        <v>476</v>
      </c>
      <c r="C36" s="340">
        <f>SUM(15*60+24)</f>
        <v>924</v>
      </c>
      <c r="G36" s="146">
        <v>2016</v>
      </c>
      <c r="H36" s="147" t="s">
        <v>269</v>
      </c>
      <c r="I36" s="466"/>
      <c r="J36" s="148" t="s">
        <v>560</v>
      </c>
      <c r="K36" s="148" t="s">
        <v>307</v>
      </c>
      <c r="L36" s="148" t="s">
        <v>553</v>
      </c>
      <c r="M36" s="148" t="s">
        <v>215</v>
      </c>
      <c r="N36" s="148" t="s">
        <v>574</v>
      </c>
      <c r="O36" s="182" t="s">
        <v>575</v>
      </c>
      <c r="P36" s="182" t="s">
        <v>185</v>
      </c>
      <c r="Q36" s="148"/>
      <c r="R36" s="150" t="s">
        <v>576</v>
      </c>
      <c r="S36" s="151">
        <v>10</v>
      </c>
    </row>
    <row r="37" spans="2:21" ht="15.75" thickBot="1">
      <c r="B37" s="133" t="s">
        <v>475</v>
      </c>
      <c r="C37" s="114">
        <f>SUM(C36)/3014*1000-60*5</f>
        <v>6.5693430656934311</v>
      </c>
      <c r="G37" s="321" t="s">
        <v>446</v>
      </c>
      <c r="H37" s="269" t="s">
        <v>270</v>
      </c>
      <c r="I37" s="462"/>
      <c r="J37" s="110" t="s">
        <v>944</v>
      </c>
      <c r="K37" s="130" t="s">
        <v>945</v>
      </c>
      <c r="L37" s="110" t="s">
        <v>946</v>
      </c>
      <c r="M37" s="110" t="s">
        <v>947</v>
      </c>
      <c r="N37" s="110" t="s">
        <v>948</v>
      </c>
      <c r="O37" s="130" t="s">
        <v>949</v>
      </c>
      <c r="P37" s="130" t="s">
        <v>950</v>
      </c>
      <c r="Q37" s="112"/>
      <c r="R37" s="320" t="s">
        <v>927</v>
      </c>
      <c r="S37" s="455" t="s">
        <v>1182</v>
      </c>
    </row>
    <row r="38" spans="2:21" ht="15.75" thickBot="1">
      <c r="B38" s="141" t="s">
        <v>1306</v>
      </c>
      <c r="D38" s="323"/>
      <c r="G38" s="70">
        <v>3013.7150000000001</v>
      </c>
      <c r="H38" s="82" t="s">
        <v>311</v>
      </c>
      <c r="I38" s="467"/>
      <c r="J38" s="74">
        <f>SUM(G38/J33)*(12*60/1000)*22.351-11.288</f>
        <v>52.44244895505912</v>
      </c>
      <c r="K38" s="74">
        <f>SUM(G38/K33)*(12*60/1000)*22.351-11.288</f>
        <v>51.697547603636366</v>
      </c>
      <c r="L38" s="74">
        <f>SUM(G38/L33)*(12*60/1000)*22.351-11.288</f>
        <v>46.794481023712578</v>
      </c>
      <c r="M38" s="74">
        <f>SUM(G38/M33)*(12*60/1000)*22.351-11.288</f>
        <v>40.471734957097112</v>
      </c>
      <c r="N38" s="74">
        <f>SUM(G38/N33)*(12*60/1000)*22.351-11.288</f>
        <v>50.415399051908395</v>
      </c>
      <c r="O38" s="384">
        <f>SUM(G38/O33)*(12*60/1000)*22.351-11.288</f>
        <v>48.074144008323131</v>
      </c>
      <c r="P38" s="384">
        <f>SUM(G38/P33)*(12*60/1000)*22.351-11.288</f>
        <v>41.256823027952322</v>
      </c>
      <c r="Q38" s="74"/>
      <c r="R38" s="327">
        <f>SUM(97*60+6)/(3013.715*7)*1000-240</f>
        <v>36.166032383856589</v>
      </c>
      <c r="S38" s="72">
        <f>SUM(21.0975)/(97*60+6)*3600</f>
        <v>13.036560247167868</v>
      </c>
    </row>
    <row r="39" spans="2:21">
      <c r="B39" s="114">
        <f>SUM(C36)/G38*1000-240</f>
        <v>66.598334613591533</v>
      </c>
      <c r="C39" s="4"/>
      <c r="D39" s="2"/>
      <c r="H39" s="107"/>
      <c r="I39" s="107"/>
      <c r="J39" s="114">
        <f>SUM(J33)/G38*1000-240</f>
        <v>12.512264762925497</v>
      </c>
      <c r="K39" s="114">
        <f>SUM(K33)/G38*1000-240</f>
        <v>15.498612177992925</v>
      </c>
      <c r="L39" s="114">
        <f>SUM(L33)/G38*1000-240</f>
        <v>37.066676842368963</v>
      </c>
      <c r="M39" s="114">
        <f>SUM(M33)/G38*1000-300</f>
        <v>10.911947546466706</v>
      </c>
      <c r="N39" s="114">
        <f>SUM(N33)/G38*1000-240</f>
        <v>20.807674249223965</v>
      </c>
      <c r="O39" s="473">
        <f>SUM(O33)/G38*1000-240</f>
        <v>31.093982012234051</v>
      </c>
      <c r="P39" s="473">
        <f>SUM(P33)/G38*1000-300</f>
        <v>6.2665182341395962</v>
      </c>
      <c r="Q39" s="114"/>
      <c r="R39" s="108"/>
    </row>
    <row r="40" spans="2:21" ht="15.75" thickBot="1">
      <c r="B40" s="3"/>
      <c r="C40" s="4"/>
      <c r="D40" s="2"/>
      <c r="H40" s="108"/>
      <c r="I40" s="108"/>
      <c r="J40" s="324">
        <f>SUM(17*60+35)</f>
        <v>1055</v>
      </c>
      <c r="K40" s="72">
        <f>SUM(18*60+14)</f>
        <v>1094</v>
      </c>
      <c r="L40" s="258">
        <f>SUM(18*60+12)</f>
        <v>1092</v>
      </c>
      <c r="M40" s="258">
        <f>SUM(17*60+15)</f>
        <v>1035</v>
      </c>
      <c r="N40" s="258">
        <f>SUM(17*60+30)</f>
        <v>1050</v>
      </c>
      <c r="O40" s="480">
        <f>SUM(17*60+50)</f>
        <v>1070</v>
      </c>
      <c r="P40" s="480">
        <f>SUM(17*60+18)</f>
        <v>1038</v>
      </c>
      <c r="Q40" s="258"/>
      <c r="R40" s="114">
        <f>SUM(J40:P40)/(21.0975)-300</f>
        <v>52.364024173480288</v>
      </c>
    </row>
    <row r="41" spans="2:21">
      <c r="G41" s="69"/>
      <c r="H41" s="268" t="s">
        <v>282</v>
      </c>
      <c r="I41" s="113"/>
      <c r="J41" s="21" t="s">
        <v>1000</v>
      </c>
      <c r="K41" s="23" t="s">
        <v>344</v>
      </c>
      <c r="L41" s="271" t="s">
        <v>1000</v>
      </c>
      <c r="M41" s="272" t="s">
        <v>344</v>
      </c>
      <c r="N41" s="271" t="s">
        <v>1000</v>
      </c>
      <c r="O41" s="272" t="s">
        <v>344</v>
      </c>
      <c r="P41" s="272" t="s">
        <v>1000</v>
      </c>
      <c r="Q41" s="271"/>
      <c r="R41" s="282" t="s">
        <v>1011</v>
      </c>
      <c r="S41" s="114">
        <f>SUM(63+16)/2</f>
        <v>39.5</v>
      </c>
    </row>
    <row r="42" spans="2:21">
      <c r="G42" s="51" t="s">
        <v>1001</v>
      </c>
      <c r="H42" s="269" t="s">
        <v>291</v>
      </c>
      <c r="I42" s="462"/>
      <c r="J42" s="17" t="s">
        <v>265</v>
      </c>
      <c r="K42" s="22" t="s">
        <v>281</v>
      </c>
      <c r="L42" s="273" t="s">
        <v>265</v>
      </c>
      <c r="M42" s="274" t="s">
        <v>281</v>
      </c>
      <c r="N42" s="273" t="s">
        <v>265</v>
      </c>
      <c r="O42" s="274" t="s">
        <v>281</v>
      </c>
      <c r="P42" s="274" t="s">
        <v>265</v>
      </c>
      <c r="Q42" s="273"/>
      <c r="R42" s="270" t="s">
        <v>279</v>
      </c>
      <c r="S42" s="37"/>
    </row>
    <row r="43" spans="2:21">
      <c r="G43" s="265">
        <v>2016</v>
      </c>
      <c r="H43" s="266" t="s">
        <v>269</v>
      </c>
      <c r="I43" s="468"/>
      <c r="J43" s="196" t="s">
        <v>856</v>
      </c>
      <c r="K43" s="196" t="s">
        <v>646</v>
      </c>
      <c r="L43" s="196" t="s">
        <v>829</v>
      </c>
      <c r="M43" s="196" t="s">
        <v>665</v>
      </c>
      <c r="N43" s="196" t="s">
        <v>857</v>
      </c>
      <c r="O43" s="481" t="s">
        <v>200</v>
      </c>
      <c r="P43" s="481" t="s">
        <v>661</v>
      </c>
      <c r="Q43" s="196"/>
      <c r="R43" s="278" t="s">
        <v>858</v>
      </c>
      <c r="S43" s="267">
        <v>50</v>
      </c>
    </row>
    <row r="44" spans="2:21" ht="15.75" thickBot="1">
      <c r="G44" s="51" t="s">
        <v>446</v>
      </c>
      <c r="H44" s="269" t="s">
        <v>270</v>
      </c>
      <c r="I44" s="462"/>
      <c r="J44" s="279" t="s">
        <v>1003</v>
      </c>
      <c r="K44" s="158" t="s">
        <v>1004</v>
      </c>
      <c r="L44" s="279" t="s">
        <v>1005</v>
      </c>
      <c r="M44" s="279" t="s">
        <v>1006</v>
      </c>
      <c r="N44" s="279" t="s">
        <v>1007</v>
      </c>
      <c r="O44" s="158" t="s">
        <v>1008</v>
      </c>
      <c r="P44" s="158" t="s">
        <v>1009</v>
      </c>
      <c r="Q44" s="280"/>
      <c r="R44" s="281" t="s">
        <v>1010</v>
      </c>
      <c r="S44" s="455" t="s">
        <v>1180</v>
      </c>
    </row>
    <row r="45" spans="2:21" ht="15.75" thickBot="1">
      <c r="G45" s="70">
        <v>3013.7150000000001</v>
      </c>
      <c r="H45" s="277" t="s">
        <v>311</v>
      </c>
      <c r="I45" s="469"/>
      <c r="J45" s="275">
        <f>SUM(G45/J40)*(12*60/1000)*22.351-11.288</f>
        <v>34.682494459526055</v>
      </c>
      <c r="K45" s="275">
        <f>SUM(G45/K40)*(12*60/1000)*22.351-11.288</f>
        <v>33.043692554661789</v>
      </c>
      <c r="L45" s="275">
        <f>SUM(G45/L40)*(12*60/1000)*22.351-11.288</f>
        <v>33.124886130769227</v>
      </c>
      <c r="M45" s="275">
        <f>SUM(G45/M40)*(12*60/1000)*22.351-11.288</f>
        <v>35.570813193043477</v>
      </c>
      <c r="N45" s="275">
        <f>SUM(G45/N40)*(12*60/1000)*22.351-11.288</f>
        <v>34.901401575999998</v>
      </c>
      <c r="O45" s="482">
        <f>SUM(G45/O40)*(12*60/1000)*22.351-11.288</f>
        <v>34.038048275514015</v>
      </c>
      <c r="P45" s="482">
        <f>SUM(G45/P40)*(12*60/1000)*22.351-11.288</f>
        <v>35.43538309710982</v>
      </c>
      <c r="Q45" s="275"/>
      <c r="R45" s="18">
        <f>SUM(123*60+51)/(3014*7)*1000-300</f>
        <v>52.213479950706244</v>
      </c>
      <c r="S45" s="72">
        <f>SUM(21.0975)/(123*60+51)*3600</f>
        <v>10.220831651190956</v>
      </c>
      <c r="T45" s="145"/>
      <c r="U45" s="145"/>
    </row>
    <row r="46" spans="2:21">
      <c r="B46" s="3"/>
      <c r="C46" s="4"/>
      <c r="D46" s="2"/>
      <c r="H46" s="107"/>
      <c r="I46" s="107"/>
      <c r="J46" s="114">
        <f>SUM(J40)/G45*1000-300</f>
        <v>50.066280321795489</v>
      </c>
      <c r="K46" s="114">
        <f>SUM(K40)/G45*1000-360</f>
        <v>3.0071191204211232</v>
      </c>
      <c r="L46" s="114">
        <f>SUM(L40)/G45*1000-360</f>
        <v>2.3434863615172503</v>
      </c>
      <c r="M46" s="114">
        <f>SUM(M40)/G45*1000-300</f>
        <v>43.429952732756703</v>
      </c>
      <c r="N46" s="114">
        <f>SUM(N40)/G45*1000-300</f>
        <v>48.407198424535807</v>
      </c>
      <c r="O46" s="473">
        <f>SUM(O40)/G45*1000-300</f>
        <v>55.043526013574592</v>
      </c>
      <c r="P46" s="473">
        <f>SUM(P40)/G45*1000-300</f>
        <v>44.425401871112513</v>
      </c>
      <c r="Q46" s="114"/>
      <c r="R46" s="276"/>
      <c r="T46" s="145"/>
      <c r="U46" s="145"/>
    </row>
    <row r="47" spans="2:21" ht="15.75" thickBot="1">
      <c r="B47" s="3"/>
      <c r="C47" s="4"/>
      <c r="G47" s="145"/>
      <c r="H47" s="145"/>
      <c r="I47" s="145"/>
      <c r="J47" s="577">
        <f>SUM(11*60+50)</f>
        <v>710</v>
      </c>
      <c r="K47" s="534">
        <f>SUM(13*60+25)</f>
        <v>805</v>
      </c>
      <c r="L47" s="534">
        <f>SUM(14*60+25)</f>
        <v>865</v>
      </c>
      <c r="M47" s="534">
        <f>SUM(14*60+1)</f>
        <v>841</v>
      </c>
      <c r="N47" s="534">
        <f>SUM(12*60+43)</f>
        <v>763</v>
      </c>
      <c r="O47" s="588">
        <f>SUM(13*60+8)</f>
        <v>788</v>
      </c>
      <c r="P47" s="588">
        <f>SUM(14*60+47)</f>
        <v>887</v>
      </c>
      <c r="Q47" s="72"/>
      <c r="R47" s="181">
        <f>SUM(J47:P47)/(21.0975)-240</f>
        <v>28.230833037089724</v>
      </c>
      <c r="S47" s="145"/>
    </row>
    <row r="48" spans="2:21">
      <c r="B48" s="21" t="s">
        <v>477</v>
      </c>
      <c r="G48" s="69"/>
      <c r="H48" s="29" t="s">
        <v>282</v>
      </c>
      <c r="I48" s="22"/>
      <c r="J48" s="21" t="s">
        <v>342</v>
      </c>
      <c r="K48" s="21" t="s">
        <v>287</v>
      </c>
      <c r="L48" s="21" t="s">
        <v>343</v>
      </c>
      <c r="M48" s="21" t="s">
        <v>283</v>
      </c>
      <c r="N48" s="23" t="s">
        <v>344</v>
      </c>
      <c r="O48" s="23" t="s">
        <v>345</v>
      </c>
      <c r="P48" s="23" t="s">
        <v>346</v>
      </c>
      <c r="Q48" s="25"/>
      <c r="R48" s="26" t="s">
        <v>447</v>
      </c>
      <c r="S48" s="139">
        <f>SUM(41+14+12+13+16+43+60)/7</f>
        <v>28.428571428571427</v>
      </c>
    </row>
    <row r="49" spans="2:19">
      <c r="B49" s="194" t="s">
        <v>309</v>
      </c>
      <c r="G49" s="51" t="s">
        <v>293</v>
      </c>
      <c r="H49" s="30" t="s">
        <v>291</v>
      </c>
      <c r="I49" s="23"/>
      <c r="J49" s="113" t="s">
        <v>309</v>
      </c>
      <c r="K49" s="22" t="s">
        <v>264</v>
      </c>
      <c r="L49" s="17" t="s">
        <v>266</v>
      </c>
      <c r="M49" s="109" t="s">
        <v>324</v>
      </c>
      <c r="N49" s="22" t="s">
        <v>341</v>
      </c>
      <c r="O49" s="22" t="s">
        <v>268</v>
      </c>
      <c r="P49" s="113" t="s">
        <v>267</v>
      </c>
      <c r="Q49" s="109"/>
      <c r="R49" s="27" t="s">
        <v>279</v>
      </c>
      <c r="S49" s="37"/>
    </row>
    <row r="50" spans="2:19">
      <c r="B50" s="196" t="s">
        <v>448</v>
      </c>
      <c r="C50" s="71">
        <f>SUM(11*60+46)</f>
        <v>706</v>
      </c>
      <c r="G50" s="146">
        <v>2015</v>
      </c>
      <c r="H50" s="147" t="s">
        <v>269</v>
      </c>
      <c r="I50" s="466"/>
      <c r="J50" s="148" t="s">
        <v>347</v>
      </c>
      <c r="K50" s="148" t="s">
        <v>168</v>
      </c>
      <c r="L50" s="148" t="s">
        <v>124</v>
      </c>
      <c r="M50" s="148" t="s">
        <v>226</v>
      </c>
      <c r="N50" s="182" t="s">
        <v>348</v>
      </c>
      <c r="O50" s="182" t="s">
        <v>349</v>
      </c>
      <c r="P50" s="182" t="s">
        <v>350</v>
      </c>
      <c r="Q50" s="149"/>
      <c r="R50" s="150" t="s">
        <v>340</v>
      </c>
      <c r="S50" s="151">
        <v>18</v>
      </c>
    </row>
    <row r="51" spans="2:19" ht="15.75" thickBot="1">
      <c r="B51" s="110" t="s">
        <v>1044</v>
      </c>
      <c r="C51" s="141" t="s">
        <v>465</v>
      </c>
      <c r="G51" s="51" t="s">
        <v>446</v>
      </c>
      <c r="H51" s="30" t="s">
        <v>270</v>
      </c>
      <c r="I51" s="23"/>
      <c r="J51" s="341" t="s">
        <v>936</v>
      </c>
      <c r="K51" s="110" t="s">
        <v>937</v>
      </c>
      <c r="L51" s="110" t="s">
        <v>938</v>
      </c>
      <c r="M51" s="110" t="s">
        <v>939</v>
      </c>
      <c r="N51" s="342" t="s">
        <v>940</v>
      </c>
      <c r="O51" s="342" t="s">
        <v>941</v>
      </c>
      <c r="P51" s="130" t="s">
        <v>942</v>
      </c>
      <c r="Q51" s="112"/>
      <c r="R51" s="28" t="s">
        <v>943</v>
      </c>
      <c r="S51" s="455" t="s">
        <v>1179</v>
      </c>
    </row>
    <row r="52" spans="2:19" ht="15.75" thickBot="1">
      <c r="G52" s="70">
        <v>3013.7150000000001</v>
      </c>
      <c r="H52" s="82" t="s">
        <v>311</v>
      </c>
      <c r="I52" s="467"/>
      <c r="J52" s="74">
        <f>SUM(G52/J47)*(12*60/1000)*22.351-11.288</f>
        <v>57.020269936338025</v>
      </c>
      <c r="K52" s="74">
        <f>SUM(G52/K47)*(12*60/1000)*22.351-11.288</f>
        <v>48.959045533913041</v>
      </c>
      <c r="L52" s="74">
        <f>SUM(G52/L47)*(12*60/1000)*22.351-11.288</f>
        <v>44.780059716531795</v>
      </c>
      <c r="M52" s="74">
        <f>SUM(G52/M47)*(12*60/1000)*22.351-11.288</f>
        <v>46.380099470630199</v>
      </c>
      <c r="N52" s="74">
        <f>SUM(G52/N47)*(12*60/1000)*22.351-11.288</f>
        <v>52.275396664220182</v>
      </c>
      <c r="O52" s="384">
        <f>SUM(G52/O47)*(12*60/1000)*22.351-11.288</f>
        <v>50.258791440101518</v>
      </c>
      <c r="P52" s="384">
        <f>SUM(G52/P47)*(12*60/1000)*22.351-11.288</f>
        <v>43.389420129425034</v>
      </c>
      <c r="Q52" s="74"/>
      <c r="R52" s="18">
        <f>SUM(94*60+16)/(3014*7)*1000-240</f>
        <v>28.082282680822857</v>
      </c>
      <c r="S52" s="72">
        <f>SUM(21.0975)/(94*60+16)*3600</f>
        <v>13.428394625176804</v>
      </c>
    </row>
    <row r="53" spans="2:19">
      <c r="B53" s="114">
        <f>SUM(C50)/G52*1000-180</f>
        <v>54.262363893068851</v>
      </c>
      <c r="C53" s="4"/>
      <c r="G53" s="2"/>
      <c r="H53" s="107"/>
      <c r="I53" s="107"/>
      <c r="J53" s="181">
        <f>SUM(J47)/G52*1000-180</f>
        <v>55.589629410876597</v>
      </c>
      <c r="K53" s="181">
        <f>SUM(K47)/G52*1000-240</f>
        <v>27.112185458810757</v>
      </c>
      <c r="L53" s="181">
        <f>SUM(L47)/G52*1000-240</f>
        <v>47.021168225927113</v>
      </c>
      <c r="M53" s="181">
        <f>SUM(M47)/G52*1000-240</f>
        <v>39.057575119080582</v>
      </c>
      <c r="N53" s="181">
        <f>SUM(N47)/G52*1000-240</f>
        <v>13.175897521829341</v>
      </c>
      <c r="O53" s="579">
        <f>SUM(O47)/G52*1000-240</f>
        <v>21.471307008127837</v>
      </c>
      <c r="P53" s="579">
        <f>SUM(P47)/G52*1000-240</f>
        <v>54.321128573869771</v>
      </c>
      <c r="Q53" s="181"/>
      <c r="R53" s="589"/>
    </row>
    <row r="54" spans="2:19" ht="15.75" thickBot="1">
      <c r="H54" s="108"/>
      <c r="I54" s="108"/>
      <c r="J54" s="71">
        <f>SUM(12*60+48)</f>
        <v>768</v>
      </c>
      <c r="K54" s="72">
        <f>SUM(15*60+29)</f>
        <v>929</v>
      </c>
      <c r="L54" s="72">
        <f>SUM(14*60+8)</f>
        <v>848</v>
      </c>
      <c r="M54" s="72">
        <f>SUM(14*60+24)</f>
        <v>864</v>
      </c>
      <c r="N54" s="72">
        <f>SUM(13*60+45)</f>
        <v>825</v>
      </c>
      <c r="O54" s="483">
        <f>SUM(13*60+43)</f>
        <v>823</v>
      </c>
      <c r="P54" s="483">
        <f>SUM(12*60+34)</f>
        <v>754</v>
      </c>
      <c r="Q54" s="72"/>
      <c r="R54" s="114">
        <f>SUM(J54:P54)/(21.0975)-240</f>
        <v>35.435478137220059</v>
      </c>
    </row>
    <row r="55" spans="2:19">
      <c r="G55" s="69"/>
      <c r="H55" s="29" t="s">
        <v>282</v>
      </c>
      <c r="I55" s="22"/>
      <c r="J55" s="21" t="s">
        <v>283</v>
      </c>
      <c r="K55" s="21" t="s">
        <v>284</v>
      </c>
      <c r="L55" s="21" t="s">
        <v>285</v>
      </c>
      <c r="M55" s="21" t="s">
        <v>286</v>
      </c>
      <c r="N55" s="23" t="s">
        <v>287</v>
      </c>
      <c r="O55" s="23" t="s">
        <v>288</v>
      </c>
      <c r="P55" s="23" t="s">
        <v>289</v>
      </c>
      <c r="Q55" s="25"/>
      <c r="R55" s="26" t="s">
        <v>290</v>
      </c>
      <c r="S55" s="139">
        <f>SUM(13+61+11+59+14+42+40)/7</f>
        <v>34.285714285714285</v>
      </c>
    </row>
    <row r="56" spans="2:19">
      <c r="G56" s="51" t="s">
        <v>293</v>
      </c>
      <c r="H56" s="30" t="s">
        <v>291</v>
      </c>
      <c r="I56" s="23"/>
      <c r="J56" s="17" t="s">
        <v>264</v>
      </c>
      <c r="K56" s="17" t="s">
        <v>265</v>
      </c>
      <c r="L56" s="17" t="s">
        <v>266</v>
      </c>
      <c r="M56" s="109" t="s">
        <v>267</v>
      </c>
      <c r="N56" s="22" t="s">
        <v>281</v>
      </c>
      <c r="O56" s="22" t="s">
        <v>268</v>
      </c>
      <c r="P56" s="113" t="s">
        <v>309</v>
      </c>
      <c r="Q56" s="111"/>
      <c r="R56" s="27" t="s">
        <v>279</v>
      </c>
      <c r="S56" s="37"/>
    </row>
    <row r="57" spans="2:19">
      <c r="G57" s="146">
        <v>2014</v>
      </c>
      <c r="H57" s="147" t="s">
        <v>269</v>
      </c>
      <c r="I57" s="466"/>
      <c r="J57" s="148" t="s">
        <v>128</v>
      </c>
      <c r="K57" s="148" t="s">
        <v>129</v>
      </c>
      <c r="L57" s="182" t="s">
        <v>130</v>
      </c>
      <c r="M57" s="148" t="s">
        <v>131</v>
      </c>
      <c r="N57" s="182" t="s">
        <v>132</v>
      </c>
      <c r="O57" s="182" t="s">
        <v>133</v>
      </c>
      <c r="P57" s="182" t="s">
        <v>134</v>
      </c>
      <c r="Q57" s="149"/>
      <c r="R57" s="150" t="s">
        <v>135</v>
      </c>
      <c r="S57" s="151">
        <v>13</v>
      </c>
    </row>
    <row r="58" spans="2:19" ht="15.75" thickBot="1">
      <c r="G58" s="51" t="s">
        <v>446</v>
      </c>
      <c r="H58" s="30" t="s">
        <v>270</v>
      </c>
      <c r="I58" s="23"/>
      <c r="J58" s="341" t="s">
        <v>928</v>
      </c>
      <c r="K58" s="341" t="s">
        <v>929</v>
      </c>
      <c r="L58" s="130" t="s">
        <v>930</v>
      </c>
      <c r="M58" s="341" t="s">
        <v>934</v>
      </c>
      <c r="N58" s="342" t="s">
        <v>931</v>
      </c>
      <c r="O58" s="130" t="s">
        <v>932</v>
      </c>
      <c r="P58" s="130" t="s">
        <v>933</v>
      </c>
      <c r="Q58" s="112"/>
      <c r="R58" s="28" t="s">
        <v>935</v>
      </c>
      <c r="S58" s="455" t="s">
        <v>1181</v>
      </c>
    </row>
    <row r="59" spans="2:19" ht="15.75" thickBot="1">
      <c r="D59" s="37"/>
      <c r="G59" s="70">
        <v>3013.7150000000001</v>
      </c>
      <c r="H59" s="82" t="s">
        <v>311</v>
      </c>
      <c r="I59" s="467"/>
      <c r="J59" s="74">
        <f>SUM(G59/J54)*(12*60/1000)*22.351-11.288</f>
        <v>51.8615724671875</v>
      </c>
      <c r="K59" s="74">
        <f>SUM(G59/K54)*(12*60/1000)*22.351-11.288</f>
        <v>40.917459262432729</v>
      </c>
      <c r="L59" s="74">
        <f>SUM(G59/L54)*(12*60/1000)*22.351-11.288</f>
        <v>45.904065630660369</v>
      </c>
      <c r="M59" s="74">
        <f>SUM(G59/M54)*(12*60/1000)*22.351-11.288</f>
        <v>44.844953304166665</v>
      </c>
      <c r="N59" s="74">
        <f>SUM(G59/N54)*(12*60/1000)*22.351-11.288</f>
        <v>47.49851109672727</v>
      </c>
      <c r="O59" s="384">
        <f>SUM(G59/O54)*(12*60/1000)*22.351-11.288</f>
        <v>47.641370175941674</v>
      </c>
      <c r="P59" s="384">
        <f>SUM(G59/P54)*(12*60/1000)*22.351-11.288</f>
        <v>53.034110948010621</v>
      </c>
      <c r="Q59" s="74"/>
      <c r="R59" s="18">
        <f>SUM(96*60+49)/(3014*7)*1000-240</f>
        <v>35.33415489619864</v>
      </c>
      <c r="S59" s="72">
        <f>SUM(21.0975)/(96*60+49)*3600</f>
        <v>13.074711654329489</v>
      </c>
    </row>
    <row r="60" spans="2:19">
      <c r="H60"/>
      <c r="I60"/>
      <c r="J60" s="114">
        <f>SUM(J54)/G59*1000-240</f>
        <v>14.834979419089052</v>
      </c>
      <c r="K60" s="114">
        <f>SUM(K54)/G59*1000-300</f>
        <v>8.2574165108512148</v>
      </c>
      <c r="L60" s="114">
        <f>SUM(L54)/G59*1000-240</f>
        <v>41.380289775244137</v>
      </c>
      <c r="M60" s="114">
        <f>SUM(M54)/G59*1000-240</f>
        <v>46.689351846475176</v>
      </c>
      <c r="N60" s="114">
        <f>SUM(N54)/G59*1000-240</f>
        <v>33.748513047849599</v>
      </c>
      <c r="O60" s="114">
        <f>SUM(O54)/G59*1000-240</f>
        <v>33.084880288945669</v>
      </c>
      <c r="P60" s="114">
        <f>SUM(P54)/G59*1000-240</f>
        <v>10.189550106761914</v>
      </c>
      <c r="Q60" s="114"/>
      <c r="R60" s="250"/>
    </row>
    <row r="61" spans="2:19">
      <c r="H61" s="145"/>
      <c r="I61" s="145"/>
      <c r="J61" s="71">
        <f>SUM(10*60+18)</f>
        <v>618</v>
      </c>
      <c r="K61" s="72">
        <f>SUM(12*60+50)</f>
        <v>770</v>
      </c>
      <c r="L61" s="72">
        <f>SUM(12*60+2)</f>
        <v>722</v>
      </c>
      <c r="M61" s="72">
        <f>SUM(10*60+31)</f>
        <v>631</v>
      </c>
      <c r="N61" s="72">
        <f>SUM(12*60+5)</f>
        <v>725</v>
      </c>
      <c r="O61" s="72">
        <f>SUM(9*60+52)</f>
        <v>592</v>
      </c>
      <c r="P61" s="72">
        <f>SUM(12*60+10)</f>
        <v>730</v>
      </c>
      <c r="Q61" s="534"/>
      <c r="R61" s="250"/>
      <c r="S61" s="108"/>
    </row>
    <row r="62" spans="2:19">
      <c r="G62" s="703" t="s">
        <v>1359</v>
      </c>
      <c r="H62" s="536" t="s">
        <v>282</v>
      </c>
      <c r="I62" s="33"/>
      <c r="J62" s="541" t="s">
        <v>1278</v>
      </c>
      <c r="K62" s="541" t="s">
        <v>1276</v>
      </c>
      <c r="L62" s="53" t="s">
        <v>300</v>
      </c>
      <c r="M62" s="544" t="s">
        <v>1273</v>
      </c>
      <c r="N62" s="544" t="s">
        <v>1271</v>
      </c>
      <c r="O62" s="55" t="s">
        <v>301</v>
      </c>
      <c r="P62" s="357" t="s">
        <v>1022</v>
      </c>
      <c r="R62" s="48" t="s">
        <v>1279</v>
      </c>
      <c r="S62" s="531">
        <f>SUM(30+25+46+28+22+27+18)/7</f>
        <v>28</v>
      </c>
    </row>
    <row r="63" spans="2:19">
      <c r="G63" s="52" t="s">
        <v>292</v>
      </c>
      <c r="H63" s="537" t="s">
        <v>291</v>
      </c>
      <c r="I63" s="470"/>
      <c r="J63" s="542" t="s">
        <v>1277</v>
      </c>
      <c r="K63" s="542" t="s">
        <v>1275</v>
      </c>
      <c r="L63" s="530" t="s">
        <v>1274</v>
      </c>
      <c r="M63" s="545" t="s">
        <v>1272</v>
      </c>
      <c r="N63" s="545" t="s">
        <v>1270</v>
      </c>
      <c r="O63" s="529" t="s">
        <v>1267</v>
      </c>
      <c r="P63" s="545" t="s">
        <v>1268</v>
      </c>
      <c r="Q63" s="274" t="s">
        <v>1269</v>
      </c>
      <c r="R63" s="532" t="s">
        <v>279</v>
      </c>
      <c r="S63" s="37"/>
    </row>
    <row r="64" spans="2:19">
      <c r="G64" s="63">
        <v>2001</v>
      </c>
      <c r="H64" s="538" t="s">
        <v>269</v>
      </c>
      <c r="I64" s="471"/>
      <c r="J64" s="60" t="s">
        <v>306</v>
      </c>
      <c r="K64" s="60" t="s">
        <v>307</v>
      </c>
      <c r="L64" s="60" t="s">
        <v>295</v>
      </c>
      <c r="M64" s="60" t="s">
        <v>92</v>
      </c>
      <c r="N64" s="60" t="s">
        <v>49</v>
      </c>
      <c r="O64" s="61" t="s">
        <v>297</v>
      </c>
      <c r="P64" s="60" t="s">
        <v>138</v>
      </c>
      <c r="Q64" s="60"/>
      <c r="R64" s="62" t="s">
        <v>299</v>
      </c>
      <c r="S64" s="39">
        <v>5</v>
      </c>
    </row>
    <row r="65" spans="4:19">
      <c r="D65" s="37"/>
      <c r="G65" s="321" t="s">
        <v>294</v>
      </c>
      <c r="H65" s="539" t="s">
        <v>270</v>
      </c>
      <c r="I65" s="54"/>
      <c r="J65" s="543" t="s">
        <v>1281</v>
      </c>
      <c r="K65" s="543" t="s">
        <v>945</v>
      </c>
      <c r="L65" s="128" t="s">
        <v>1282</v>
      </c>
      <c r="M65" s="546" t="s">
        <v>1283</v>
      </c>
      <c r="N65" s="546" t="s">
        <v>1284</v>
      </c>
      <c r="O65" s="129" t="s">
        <v>1285</v>
      </c>
      <c r="P65" s="546" t="s">
        <v>1286</v>
      </c>
      <c r="Q65" s="135"/>
      <c r="R65" s="533" t="s">
        <v>1280</v>
      </c>
      <c r="S65" s="455" t="s">
        <v>1178</v>
      </c>
    </row>
    <row r="66" spans="4:19" ht="15.75" thickBot="1">
      <c r="G66" s="51" t="s">
        <v>446</v>
      </c>
      <c r="H66" s="540" t="s">
        <v>311</v>
      </c>
      <c r="I66" s="472"/>
      <c r="J66" s="75">
        <f>SUM(G67/J61)*(12*60/1000)*22.351-11.288</f>
        <v>67.189138599999993</v>
      </c>
      <c r="K66" s="75">
        <f>SUM(G67/K61)*(12*60/1000)*22.351-11.288</f>
        <v>51.697547603636366</v>
      </c>
      <c r="L66" s="76">
        <f>SUM(G67/L61)*(12*60/1000)*22.351-11.288</f>
        <v>55.884952430470918</v>
      </c>
      <c r="M66" s="75">
        <f>SUM(G67/M61)*(12*60/1000)*22.351-11.288</f>
        <v>65.572335427575283</v>
      </c>
      <c r="N66" s="75">
        <f>SUM(G67/N61)*(12*60/1000)*22.351-11.288</f>
        <v>55.606995385931029</v>
      </c>
      <c r="O66" s="76">
        <f>SUM(G67/O61)*(12*60/1000)*22.351-11.288</f>
        <v>70.635769687162167</v>
      </c>
      <c r="P66" s="75">
        <f>SUM(G67/P61)*(12*60/1000)*22.351-11.288</f>
        <v>55.148810486027386</v>
      </c>
      <c r="Q66" s="159"/>
      <c r="R66" s="114">
        <f>SUM(79*60+18)/(21097.5)*1000-180</f>
        <v>45.52435122644863</v>
      </c>
      <c r="S66" s="72">
        <f>SUM(21.0975)/(79*60+18)*3600</f>
        <v>15.962799495586381</v>
      </c>
    </row>
    <row r="67" spans="4:19" ht="15.75" thickTop="1">
      <c r="G67" s="535">
        <v>3013.7150000000001</v>
      </c>
      <c r="H67"/>
      <c r="I67"/>
      <c r="J67" s="114">
        <f>SUM(J61)/G67*1000-180</f>
        <v>25.062522501298218</v>
      </c>
      <c r="K67" s="114">
        <f>SUM(K61)/G67*1000-240</f>
        <v>15.498612177992925</v>
      </c>
      <c r="L67" s="114">
        <f>SUM(L61)/G67*1000-180</f>
        <v>59.571425964299863</v>
      </c>
      <c r="M67" s="114">
        <f>SUM(M61)/G67*1000-180</f>
        <v>29.376135434173449</v>
      </c>
      <c r="N67" s="114">
        <f>SUM(N61)/G67*1000-240</f>
        <v>0.56687510265567198</v>
      </c>
      <c r="O67" s="114">
        <f>SUM(O61)/G67*1000-180</f>
        <v>16.435296635547815</v>
      </c>
      <c r="P67" s="114">
        <f>SUM(P61)/G67*1000-240</f>
        <v>2.2259569999153541</v>
      </c>
      <c r="Q67" s="181"/>
      <c r="R67" s="250"/>
    </row>
    <row r="68" spans="4:19">
      <c r="E68" s="144"/>
      <c r="G68" s="144"/>
      <c r="J68" s="72">
        <f>SUM(2001-1971)</f>
        <v>30</v>
      </c>
      <c r="K68" s="72">
        <f>SUM(2001-1975)-1</f>
        <v>25</v>
      </c>
      <c r="L68" s="72">
        <f>SUM(2001-1955)</f>
        <v>46</v>
      </c>
      <c r="M68" s="72">
        <f>SUM(2001-1973)</f>
        <v>28</v>
      </c>
      <c r="N68" s="72">
        <f>SUM(2001-1979)</f>
        <v>22</v>
      </c>
      <c r="O68" s="72">
        <f>SUM(2001-1974)</f>
        <v>27</v>
      </c>
      <c r="P68" s="72">
        <f>SUM(2001-1982)-1</f>
        <v>18</v>
      </c>
    </row>
    <row r="69" spans="4:19" ht="15.75" thickBot="1">
      <c r="E69" s="727"/>
      <c r="G69" s="388"/>
      <c r="H69" s="173"/>
      <c r="P69"/>
      <c r="Q69"/>
    </row>
    <row r="70" spans="4:19">
      <c r="D70" s="161"/>
      <c r="E70" s="389" t="s">
        <v>1016</v>
      </c>
      <c r="F70" s="162"/>
      <c r="G70" s="347" t="s">
        <v>1121</v>
      </c>
      <c r="H70" s="388" t="s">
        <v>1032</v>
      </c>
      <c r="I70" s="163"/>
      <c r="J70" s="163"/>
      <c r="K70" s="163"/>
      <c r="L70" s="163"/>
      <c r="M70" s="164"/>
      <c r="N70" s="183"/>
      <c r="P70"/>
      <c r="Q70"/>
    </row>
    <row r="71" spans="4:19" ht="15.75" thickBot="1">
      <c r="D71" s="165"/>
      <c r="E71" s="303" t="s">
        <v>293</v>
      </c>
      <c r="F71" s="303"/>
      <c r="G71" s="303" t="s">
        <v>470</v>
      </c>
      <c r="H71" s="303" t="s">
        <v>471</v>
      </c>
      <c r="I71" s="303"/>
      <c r="J71" s="303" t="s">
        <v>270</v>
      </c>
      <c r="K71" s="303" t="s">
        <v>472</v>
      </c>
      <c r="L71" s="303" t="s">
        <v>282</v>
      </c>
      <c r="M71" s="166"/>
      <c r="N71" s="201">
        <v>2014</v>
      </c>
      <c r="O71" s="155" t="s">
        <v>135</v>
      </c>
      <c r="P71" s="202">
        <v>13</v>
      </c>
      <c r="Q71" s="202"/>
    </row>
    <row r="72" spans="4:19" ht="15.75" thickBot="1">
      <c r="D72" s="165"/>
      <c r="E72" s="301" t="s">
        <v>324</v>
      </c>
      <c r="F72" s="370"/>
      <c r="G72" s="669">
        <v>2021</v>
      </c>
      <c r="H72" s="338" t="s">
        <v>38</v>
      </c>
      <c r="I72" s="338"/>
      <c r="J72" s="725" t="s">
        <v>1366</v>
      </c>
      <c r="K72" s="716">
        <f>SUM(P10)</f>
        <v>57.896941538461533</v>
      </c>
      <c r="L72" s="669" t="s">
        <v>1120</v>
      </c>
      <c r="M72" s="167"/>
      <c r="N72" s="344">
        <v>2015</v>
      </c>
      <c r="O72" s="345" t="s">
        <v>340</v>
      </c>
      <c r="P72" s="346">
        <v>18</v>
      </c>
      <c r="Q72" s="346"/>
    </row>
    <row r="73" spans="4:19">
      <c r="D73" s="165"/>
      <c r="E73" s="336"/>
      <c r="F73" s="336"/>
      <c r="G73" s="169">
        <v>2019</v>
      </c>
      <c r="H73" s="198" t="s">
        <v>1189</v>
      </c>
      <c r="I73" s="198"/>
      <c r="J73" s="160" t="s">
        <v>1196</v>
      </c>
      <c r="K73" s="159">
        <f>SUM(O17)</f>
        <v>56.062599999999989</v>
      </c>
      <c r="L73" s="169" t="s">
        <v>467</v>
      </c>
      <c r="M73" s="167"/>
      <c r="N73" s="296">
        <v>2016</v>
      </c>
      <c r="O73" s="155" t="s">
        <v>576</v>
      </c>
      <c r="P73" s="295">
        <v>10</v>
      </c>
      <c r="Q73" s="295"/>
    </row>
    <row r="74" spans="4:19">
      <c r="D74" s="165"/>
      <c r="E74" s="336"/>
      <c r="F74" s="336"/>
      <c r="G74" s="169">
        <v>2017</v>
      </c>
      <c r="H74" s="198" t="s">
        <v>167</v>
      </c>
      <c r="I74" s="198"/>
      <c r="J74" s="459" t="s">
        <v>1039</v>
      </c>
      <c r="K74" s="159">
        <f>SUM(N31)</f>
        <v>51.985649090909078</v>
      </c>
      <c r="L74" s="169" t="s">
        <v>466</v>
      </c>
      <c r="M74" s="167"/>
      <c r="N74" s="295">
        <v>2017</v>
      </c>
      <c r="O74" s="155" t="s">
        <v>1035</v>
      </c>
      <c r="P74" s="295">
        <v>19</v>
      </c>
      <c r="Q74" s="295"/>
    </row>
    <row r="75" spans="4:19">
      <c r="D75" s="165"/>
      <c r="E75" s="336"/>
      <c r="F75" s="336"/>
      <c r="G75" s="169">
        <v>2018</v>
      </c>
      <c r="H75" s="198" t="s">
        <v>491</v>
      </c>
      <c r="I75" s="198"/>
      <c r="J75" s="160" t="s">
        <v>1128</v>
      </c>
      <c r="K75" s="159">
        <f>SUM(P24)</f>
        <v>50.571595668789797</v>
      </c>
      <c r="L75" s="169" t="s">
        <v>344</v>
      </c>
      <c r="M75" s="167"/>
      <c r="N75" s="295">
        <v>2018</v>
      </c>
      <c r="O75" s="155" t="s">
        <v>597</v>
      </c>
      <c r="P75" s="295">
        <v>14</v>
      </c>
      <c r="Q75" s="295"/>
    </row>
    <row r="76" spans="4:19">
      <c r="D76" s="165"/>
      <c r="E76" s="336"/>
      <c r="F76" s="336"/>
      <c r="G76" s="169">
        <v>2016</v>
      </c>
      <c r="H76" s="198" t="s">
        <v>574</v>
      </c>
      <c r="I76" s="198"/>
      <c r="J76" s="160" t="s">
        <v>948</v>
      </c>
      <c r="K76" s="159">
        <f>SUM(N38)</f>
        <v>50.415399051908395</v>
      </c>
      <c r="L76" s="169" t="s">
        <v>287</v>
      </c>
      <c r="M76" s="167"/>
      <c r="N76" s="295">
        <v>2019</v>
      </c>
      <c r="O76" s="155" t="s">
        <v>1191</v>
      </c>
      <c r="P76" s="295">
        <v>17</v>
      </c>
      <c r="Q76" s="295"/>
      <c r="R76" s="157"/>
    </row>
    <row r="77" spans="4:19" ht="15.75" thickBot="1">
      <c r="D77" s="165"/>
      <c r="E77" s="336"/>
      <c r="F77" s="336"/>
      <c r="G77" s="169">
        <v>2015</v>
      </c>
      <c r="H77" s="198" t="s">
        <v>226</v>
      </c>
      <c r="I77" s="198"/>
      <c r="J77" s="160" t="s">
        <v>939</v>
      </c>
      <c r="K77" s="159">
        <f>SUM(M52)</f>
        <v>46.380099470630199</v>
      </c>
      <c r="L77" s="169" t="s">
        <v>283</v>
      </c>
      <c r="M77" s="167"/>
      <c r="N77" s="295">
        <v>2020</v>
      </c>
      <c r="O77" s="198" t="s">
        <v>1312</v>
      </c>
    </row>
    <row r="78" spans="4:19" ht="15.75" thickBot="1">
      <c r="D78" s="165"/>
      <c r="E78" s="301" t="s">
        <v>309</v>
      </c>
      <c r="F78" s="301"/>
      <c r="G78" s="343">
        <v>2015</v>
      </c>
      <c r="H78" s="338" t="s">
        <v>347</v>
      </c>
      <c r="I78" s="338"/>
      <c r="J78" s="741" t="s">
        <v>936</v>
      </c>
      <c r="K78" s="313">
        <f>SUM(J52)</f>
        <v>57.020269936338025</v>
      </c>
      <c r="L78" s="343" t="s">
        <v>342</v>
      </c>
      <c r="M78" s="197"/>
      <c r="N78" s="704">
        <v>2021</v>
      </c>
      <c r="O78" s="705" t="s">
        <v>1351</v>
      </c>
      <c r="P78" s="706">
        <v>8</v>
      </c>
      <c r="Q78" s="707"/>
      <c r="R78" s="704"/>
    </row>
    <row r="79" spans="4:19">
      <c r="D79" s="165"/>
      <c r="E79" s="113"/>
      <c r="F79" s="113"/>
      <c r="G79" s="156">
        <v>2014</v>
      </c>
      <c r="H79" s="198" t="s">
        <v>134</v>
      </c>
      <c r="I79" s="198"/>
      <c r="J79" s="158" t="s">
        <v>933</v>
      </c>
      <c r="K79" s="159">
        <f>SUM(P59)</f>
        <v>53.034110948010621</v>
      </c>
      <c r="L79" s="156" t="s">
        <v>289</v>
      </c>
      <c r="M79" s="197"/>
    </row>
    <row r="80" spans="4:19">
      <c r="D80" s="165"/>
      <c r="E80" s="113"/>
      <c r="F80" s="113"/>
      <c r="G80" s="169">
        <v>2016</v>
      </c>
      <c r="H80" s="198" t="s">
        <v>560</v>
      </c>
      <c r="I80" s="198"/>
      <c r="J80" s="160" t="s">
        <v>944</v>
      </c>
      <c r="K80" s="159">
        <f>SUM(J38)</f>
        <v>52.44244895505912</v>
      </c>
      <c r="L80" s="169" t="s">
        <v>288</v>
      </c>
      <c r="M80" s="197"/>
      <c r="N80" s="295">
        <v>2018</v>
      </c>
      <c r="O80" s="525" t="s">
        <v>1151</v>
      </c>
      <c r="P80" s="526" t="s">
        <v>309</v>
      </c>
      <c r="Q80" s="526"/>
      <c r="R80" s="527" t="s">
        <v>293</v>
      </c>
      <c r="S80" s="528"/>
    </row>
    <row r="81" spans="4:19" ht="3.75" customHeight="1" thickBot="1">
      <c r="D81" s="165"/>
      <c r="E81" s="113"/>
      <c r="F81" s="113"/>
      <c r="G81" s="742"/>
      <c r="H81" s="743"/>
      <c r="I81" s="743"/>
      <c r="J81" s="744"/>
      <c r="K81" s="745"/>
      <c r="L81" s="746"/>
      <c r="M81" s="197"/>
      <c r="N81" s="295"/>
      <c r="O81" s="573"/>
      <c r="P81" s="574"/>
      <c r="Q81" s="574"/>
      <c r="R81" s="754"/>
      <c r="S81" s="755"/>
    </row>
    <row r="82" spans="4:19" ht="15.75" thickBot="1">
      <c r="D82" s="165"/>
      <c r="E82" s="524" t="s">
        <v>803</v>
      </c>
      <c r="F82" s="168"/>
      <c r="G82" s="445">
        <v>2015</v>
      </c>
      <c r="H82" s="358" t="s">
        <v>448</v>
      </c>
      <c r="I82" s="358"/>
      <c r="J82" s="741" t="s">
        <v>1044</v>
      </c>
      <c r="K82" s="360">
        <f>SUM(B52)</f>
        <v>0</v>
      </c>
      <c r="L82" s="446" t="s">
        <v>342</v>
      </c>
      <c r="M82" s="167"/>
      <c r="N82"/>
      <c r="O82"/>
      <c r="P82"/>
      <c r="Q82"/>
    </row>
    <row r="83" spans="4:19">
      <c r="D83" s="165"/>
      <c r="E83" s="524" t="s">
        <v>803</v>
      </c>
      <c r="F83" s="168"/>
      <c r="G83" s="445">
        <v>2017</v>
      </c>
      <c r="H83" s="358" t="s">
        <v>1042</v>
      </c>
      <c r="I83" s="358"/>
      <c r="J83" s="359" t="s">
        <v>1043</v>
      </c>
      <c r="K83" s="360">
        <f>SUM(B30)</f>
        <v>0</v>
      </c>
      <c r="L83" s="446" t="s">
        <v>345</v>
      </c>
      <c r="M83" s="167"/>
    </row>
    <row r="84" spans="4:19">
      <c r="D84" s="165"/>
      <c r="E84" s="524" t="s">
        <v>803</v>
      </c>
      <c r="F84" s="168"/>
      <c r="G84" s="445">
        <v>2019</v>
      </c>
      <c r="H84" s="358" t="s">
        <v>1300</v>
      </c>
      <c r="I84" s="358"/>
      <c r="J84" s="359" t="s">
        <v>1301</v>
      </c>
      <c r="K84" s="360">
        <v>0</v>
      </c>
      <c r="L84" s="446" t="s">
        <v>1023</v>
      </c>
      <c r="M84" s="167"/>
      <c r="N84"/>
      <c r="O84"/>
      <c r="P84"/>
      <c r="Q84"/>
    </row>
    <row r="85" spans="4:19">
      <c r="D85" s="165"/>
      <c r="E85" s="524" t="s">
        <v>803</v>
      </c>
      <c r="F85" s="168"/>
      <c r="G85" s="747">
        <v>2021</v>
      </c>
      <c r="H85" s="358" t="s">
        <v>122</v>
      </c>
      <c r="I85" s="358"/>
      <c r="J85" s="359" t="s">
        <v>1374</v>
      </c>
      <c r="K85" s="360">
        <f>SUM(B33)</f>
        <v>0</v>
      </c>
      <c r="L85" s="748" t="s">
        <v>1172</v>
      </c>
      <c r="M85" s="572"/>
      <c r="N85"/>
      <c r="O85"/>
      <c r="P85"/>
      <c r="Q85"/>
    </row>
    <row r="86" spans="4:19">
      <c r="D86" s="165"/>
      <c r="E86" s="524" t="s">
        <v>803</v>
      </c>
      <c r="G86" s="749">
        <v>2016</v>
      </c>
      <c r="H86" s="750" t="s">
        <v>476</v>
      </c>
      <c r="I86" s="751"/>
      <c r="J86" s="752" t="s">
        <v>475</v>
      </c>
      <c r="K86" s="756">
        <v>0</v>
      </c>
      <c r="L86" s="753" t="s">
        <v>288</v>
      </c>
      <c r="M86" s="167"/>
      <c r="N86"/>
      <c r="O86"/>
      <c r="P86"/>
      <c r="Q86"/>
    </row>
    <row r="87" spans="4:19" ht="15.75" thickBot="1">
      <c r="D87" s="165"/>
      <c r="E87" s="336"/>
      <c r="F87" s="336"/>
      <c r="M87" s="167"/>
      <c r="N87"/>
      <c r="O87"/>
      <c r="P87"/>
      <c r="Q87"/>
    </row>
    <row r="88" spans="4:19" ht="15.75" thickBot="1">
      <c r="D88" s="165"/>
      <c r="E88" s="301" t="s">
        <v>1310</v>
      </c>
      <c r="F88" s="301"/>
      <c r="G88" s="669">
        <v>2021</v>
      </c>
      <c r="H88" s="338" t="s">
        <v>49</v>
      </c>
      <c r="I88" s="338"/>
      <c r="J88" s="726" t="s">
        <v>1365</v>
      </c>
      <c r="K88" s="716">
        <f>SUM(O10)</f>
        <v>55.702108910344819</v>
      </c>
      <c r="L88" s="669" t="s">
        <v>287</v>
      </c>
      <c r="M88" s="167"/>
      <c r="N88"/>
      <c r="O88"/>
      <c r="P88"/>
      <c r="Q88"/>
    </row>
    <row r="89" spans="4:19" ht="15.75" thickBot="1">
      <c r="D89" s="165"/>
      <c r="K89" s="250"/>
      <c r="L89" s="250"/>
      <c r="M89" s="167"/>
    </row>
    <row r="90" spans="4:19" ht="15.75" thickBot="1">
      <c r="D90" s="165"/>
      <c r="E90" s="301" t="s">
        <v>1341</v>
      </c>
      <c r="F90" s="301"/>
      <c r="G90" s="669">
        <v>2021</v>
      </c>
      <c r="H90" s="338" t="s">
        <v>348</v>
      </c>
      <c r="I90" s="338"/>
      <c r="J90" s="726" t="s">
        <v>1363</v>
      </c>
      <c r="K90" s="716">
        <f>SUM(M10)</f>
        <v>52.36577321100917</v>
      </c>
      <c r="L90" s="669" t="s">
        <v>468</v>
      </c>
      <c r="M90" s="167"/>
    </row>
    <row r="91" spans="4:19" ht="15.75" thickBot="1">
      <c r="D91" s="165"/>
      <c r="E91" s="113"/>
      <c r="F91" s="113"/>
      <c r="M91" s="167"/>
    </row>
    <row r="92" spans="4:19" ht="15.75" thickBot="1">
      <c r="D92" s="165"/>
      <c r="E92" s="301" t="s">
        <v>341</v>
      </c>
      <c r="F92" s="301"/>
      <c r="G92" s="343">
        <v>2015</v>
      </c>
      <c r="H92" s="338" t="s">
        <v>348</v>
      </c>
      <c r="I92" s="338"/>
      <c r="J92" s="726" t="s">
        <v>940</v>
      </c>
      <c r="K92" s="313">
        <f>SUM(N52)</f>
        <v>52.275396664220182</v>
      </c>
      <c r="L92" s="343" t="s">
        <v>344</v>
      </c>
      <c r="M92" s="197"/>
    </row>
    <row r="93" spans="4:19">
      <c r="D93" s="165"/>
      <c r="E93" s="336"/>
      <c r="F93" s="336"/>
      <c r="G93" s="169">
        <v>2016</v>
      </c>
      <c r="H93" s="198" t="s">
        <v>307</v>
      </c>
      <c r="I93" s="198"/>
      <c r="J93" s="160" t="s">
        <v>945</v>
      </c>
      <c r="K93" s="159">
        <f>SUM(K38)</f>
        <v>51.697547603636366</v>
      </c>
      <c r="L93" s="169" t="s">
        <v>467</v>
      </c>
      <c r="M93" s="197"/>
      <c r="N93" s="144"/>
    </row>
    <row r="94" spans="4:19">
      <c r="D94" s="165"/>
      <c r="E94" s="336"/>
      <c r="F94" s="336"/>
      <c r="G94" s="169">
        <v>2019</v>
      </c>
      <c r="H94" s="198" t="s">
        <v>657</v>
      </c>
      <c r="I94" s="198"/>
      <c r="J94" s="160" t="s">
        <v>1192</v>
      </c>
      <c r="K94" s="159">
        <f>SUM(J17)</f>
        <v>49.333316775818631</v>
      </c>
      <c r="L94" s="169" t="s">
        <v>1173</v>
      </c>
      <c r="M94" s="197"/>
      <c r="N94" s="144"/>
    </row>
    <row r="95" spans="4:19">
      <c r="D95" s="165"/>
      <c r="E95" s="113"/>
      <c r="F95" s="113"/>
      <c r="G95" s="169">
        <v>2018</v>
      </c>
      <c r="H95" s="198" t="s">
        <v>660</v>
      </c>
      <c r="I95" s="198"/>
      <c r="J95" s="160" t="s">
        <v>1130</v>
      </c>
      <c r="K95" s="159">
        <f>SUM(N24)</f>
        <v>48.588427373612816</v>
      </c>
      <c r="L95" s="169" t="s">
        <v>1120</v>
      </c>
      <c r="M95" s="197"/>
      <c r="N95" s="144"/>
    </row>
    <row r="96" spans="4:19">
      <c r="D96" s="165"/>
      <c r="E96" s="113"/>
      <c r="F96" s="113"/>
      <c r="G96" s="169">
        <v>2017</v>
      </c>
      <c r="H96" s="198" t="s">
        <v>691</v>
      </c>
      <c r="I96" s="198"/>
      <c r="J96" s="160" t="s">
        <v>1040</v>
      </c>
      <c r="K96" s="159">
        <f>SUM(O31)</f>
        <v>45.240742335025374</v>
      </c>
      <c r="L96" s="169" t="s">
        <v>467</v>
      </c>
      <c r="M96" s="197"/>
      <c r="N96" s="144"/>
    </row>
    <row r="97" spans="4:14">
      <c r="D97" s="165"/>
      <c r="E97" s="113"/>
      <c r="F97" s="113"/>
      <c r="G97" s="169">
        <v>2019</v>
      </c>
      <c r="H97" s="198" t="s">
        <v>1190</v>
      </c>
      <c r="I97" s="198"/>
      <c r="J97" s="160" t="s">
        <v>1197</v>
      </c>
      <c r="K97" s="159">
        <f>SUM(P17)</f>
        <v>40.371343191489359</v>
      </c>
      <c r="L97" s="169" t="s">
        <v>1173</v>
      </c>
      <c r="M97" s="197"/>
      <c r="N97" s="144"/>
    </row>
    <row r="98" spans="4:14" ht="15.75" thickBot="1">
      <c r="D98" s="165"/>
      <c r="E98" s="113"/>
      <c r="F98" s="113"/>
      <c r="G98" s="169">
        <v>2018</v>
      </c>
      <c r="H98" s="198" t="s">
        <v>1124</v>
      </c>
      <c r="I98" s="198"/>
      <c r="J98" s="160" t="s">
        <v>1132</v>
      </c>
      <c r="K98" s="159">
        <f>SUM(O24)</f>
        <v>38.619279136690636</v>
      </c>
      <c r="L98" s="169" t="s">
        <v>1120</v>
      </c>
      <c r="M98" s="197"/>
      <c r="N98" s="144"/>
    </row>
    <row r="99" spans="4:14" ht="15.75" thickBot="1">
      <c r="D99" s="165"/>
      <c r="E99" s="301" t="s">
        <v>264</v>
      </c>
      <c r="F99" s="301"/>
      <c r="G99" s="343">
        <v>2014</v>
      </c>
      <c r="H99" s="338" t="s">
        <v>128</v>
      </c>
      <c r="I99" s="338"/>
      <c r="J99" s="726" t="s">
        <v>928</v>
      </c>
      <c r="K99" s="313">
        <f>SUM(J59)</f>
        <v>51.8615724671875</v>
      </c>
      <c r="L99" s="343" t="s">
        <v>283</v>
      </c>
      <c r="M99" s="197"/>
      <c r="N99" s="144"/>
    </row>
    <row r="100" spans="4:14">
      <c r="D100" s="165"/>
      <c r="E100" s="113"/>
      <c r="F100" s="113"/>
      <c r="G100" s="169">
        <v>2015</v>
      </c>
      <c r="H100" s="198" t="s">
        <v>168</v>
      </c>
      <c r="I100" s="198"/>
      <c r="J100" s="158" t="s">
        <v>937</v>
      </c>
      <c r="K100" s="159">
        <f>SUM(K52)</f>
        <v>48.959045533913041</v>
      </c>
      <c r="L100" s="302" t="s">
        <v>287</v>
      </c>
      <c r="M100" s="197"/>
      <c r="N100" s="144"/>
    </row>
    <row r="101" spans="4:14" ht="15.75" thickBot="1">
      <c r="D101" s="165"/>
      <c r="E101" s="168"/>
      <c r="F101" s="168"/>
      <c r="G101" s="169">
        <v>2016</v>
      </c>
      <c r="H101" s="198" t="s">
        <v>553</v>
      </c>
      <c r="I101" s="198"/>
      <c r="J101" s="160" t="s">
        <v>946</v>
      </c>
      <c r="K101" s="159">
        <f>SUM(L38)</f>
        <v>46.794481023712578</v>
      </c>
      <c r="L101" s="302" t="s">
        <v>466</v>
      </c>
      <c r="M101" s="197"/>
      <c r="N101" s="144"/>
    </row>
    <row r="102" spans="4:14" ht="15.75" thickBot="1">
      <c r="D102" s="165"/>
      <c r="E102" s="301" t="s">
        <v>268</v>
      </c>
      <c r="F102" s="301"/>
      <c r="G102" s="343">
        <v>2015</v>
      </c>
      <c r="H102" s="338" t="s">
        <v>349</v>
      </c>
      <c r="I102" s="338"/>
      <c r="J102" s="726" t="s">
        <v>941</v>
      </c>
      <c r="K102" s="313">
        <f>SUM(O52)</f>
        <v>50.258791440101518</v>
      </c>
      <c r="L102" s="343" t="s">
        <v>345</v>
      </c>
      <c r="M102" s="197"/>
      <c r="N102" s="144"/>
    </row>
    <row r="103" spans="4:14">
      <c r="D103" s="165"/>
      <c r="G103" s="667">
        <v>2021</v>
      </c>
      <c r="H103" s="198" t="s">
        <v>31</v>
      </c>
      <c r="I103" s="198"/>
      <c r="J103" s="160" t="s">
        <v>1360</v>
      </c>
      <c r="K103" s="717">
        <f>SUM(J10)</f>
        <v>49.226699924528305</v>
      </c>
      <c r="L103" s="169" t="s">
        <v>1309</v>
      </c>
      <c r="M103" s="197"/>
      <c r="N103" s="144"/>
    </row>
    <row r="104" spans="4:14">
      <c r="D104" s="165"/>
      <c r="E104" s="113"/>
      <c r="F104" s="113"/>
      <c r="G104" s="169">
        <v>2019</v>
      </c>
      <c r="H104" s="198" t="s">
        <v>660</v>
      </c>
      <c r="I104" s="198"/>
      <c r="J104" s="160" t="s">
        <v>1130</v>
      </c>
      <c r="K104" s="159">
        <f>SUM(N17)</f>
        <v>48.588427373612816</v>
      </c>
      <c r="L104" s="169" t="s">
        <v>1172</v>
      </c>
      <c r="M104" s="197"/>
      <c r="N104" s="144"/>
    </row>
    <row r="105" spans="4:14">
      <c r="D105" s="165"/>
      <c r="E105" s="113"/>
      <c r="F105" s="113"/>
      <c r="G105" s="169">
        <v>2016</v>
      </c>
      <c r="H105" s="198" t="s">
        <v>575</v>
      </c>
      <c r="I105" s="198"/>
      <c r="J105" s="160" t="s">
        <v>949</v>
      </c>
      <c r="K105" s="159">
        <f>SUM(O38)</f>
        <v>48.074144008323131</v>
      </c>
      <c r="L105" s="169" t="s">
        <v>468</v>
      </c>
      <c r="M105" s="197"/>
      <c r="N105" s="144"/>
    </row>
    <row r="106" spans="4:14">
      <c r="D106" s="165"/>
      <c r="E106" s="113"/>
      <c r="F106" s="113"/>
      <c r="G106" s="169">
        <v>2014</v>
      </c>
      <c r="H106" s="198" t="s">
        <v>133</v>
      </c>
      <c r="I106" s="198"/>
      <c r="J106" s="160" t="s">
        <v>932</v>
      </c>
      <c r="K106" s="159">
        <f>SUM(O59)</f>
        <v>47.641370175941674</v>
      </c>
      <c r="L106" s="169" t="s">
        <v>288</v>
      </c>
      <c r="M106" s="197"/>
      <c r="N106" s="144"/>
    </row>
    <row r="107" spans="4:14">
      <c r="D107" s="165"/>
      <c r="E107" s="113"/>
      <c r="F107" s="113"/>
      <c r="G107" s="169">
        <v>2018</v>
      </c>
      <c r="H107" s="198" t="s">
        <v>569</v>
      </c>
      <c r="I107" s="198"/>
      <c r="J107" s="160" t="s">
        <v>1131</v>
      </c>
      <c r="K107" s="159">
        <f>SUM(L24)</f>
        <v>47.077123317307695</v>
      </c>
      <c r="L107" s="169" t="s">
        <v>300</v>
      </c>
      <c r="M107" s="197"/>
      <c r="N107" s="144"/>
    </row>
    <row r="108" spans="4:14">
      <c r="D108" s="165"/>
      <c r="E108" s="524" t="s">
        <v>1247</v>
      </c>
      <c r="F108" s="113"/>
      <c r="G108" s="520">
        <v>2019</v>
      </c>
      <c r="H108" s="521" t="s">
        <v>225</v>
      </c>
      <c r="I108" s="521"/>
      <c r="J108" s="518" t="s">
        <v>1266</v>
      </c>
      <c r="K108" s="522">
        <f>SUM(B54)</f>
        <v>0</v>
      </c>
      <c r="L108" s="523" t="s">
        <v>1172</v>
      </c>
      <c r="M108" s="197"/>
      <c r="N108" s="144"/>
    </row>
    <row r="109" spans="4:14" ht="15.75" thickBot="1">
      <c r="D109" s="165"/>
      <c r="E109" s="113"/>
      <c r="F109" s="113"/>
      <c r="G109" s="169">
        <v>2017</v>
      </c>
      <c r="H109" s="198" t="s">
        <v>1029</v>
      </c>
      <c r="I109" s="198"/>
      <c r="J109" s="160" t="s">
        <v>1038</v>
      </c>
      <c r="K109" s="159">
        <f>SUM(M31)</f>
        <v>42.148479078694805</v>
      </c>
      <c r="L109" s="169" t="s">
        <v>1023</v>
      </c>
      <c r="M109" s="197"/>
      <c r="N109" s="144"/>
    </row>
    <row r="110" spans="4:14" ht="15.75" thickBot="1">
      <c r="D110" s="165"/>
      <c r="E110" s="301" t="s">
        <v>1339</v>
      </c>
      <c r="F110" s="301"/>
      <c r="G110" s="669">
        <v>2021</v>
      </c>
      <c r="H110" s="338" t="s">
        <v>604</v>
      </c>
      <c r="I110" s="338"/>
      <c r="J110" s="726" t="s">
        <v>1361</v>
      </c>
      <c r="K110" s="716">
        <f>SUM(K10)</f>
        <v>49.957685952080695</v>
      </c>
      <c r="L110" s="343" t="s">
        <v>1307</v>
      </c>
      <c r="M110" s="197"/>
      <c r="N110" s="144"/>
    </row>
    <row r="111" spans="4:14" ht="15.75" thickBot="1">
      <c r="D111" s="165"/>
      <c r="E111" s="113"/>
      <c r="F111" s="113"/>
      <c r="G111" s="169"/>
      <c r="H111" s="198"/>
      <c r="I111" s="198"/>
      <c r="J111" s="160"/>
      <c r="K111" s="159"/>
      <c r="L111" s="169"/>
      <c r="M111" s="197"/>
      <c r="N111" s="144"/>
    </row>
    <row r="112" spans="4:14" ht="15.75" thickBot="1">
      <c r="D112" s="165"/>
      <c r="E112" s="301" t="s">
        <v>1185</v>
      </c>
      <c r="F112" s="517"/>
      <c r="G112" s="343">
        <v>2019</v>
      </c>
      <c r="H112" s="338" t="s">
        <v>168</v>
      </c>
      <c r="I112" s="338"/>
      <c r="J112" s="726" t="s">
        <v>1193</v>
      </c>
      <c r="K112" s="313">
        <f>SUM(K17)</f>
        <v>49.034711304347823</v>
      </c>
      <c r="L112" s="343" t="s">
        <v>1187</v>
      </c>
      <c r="M112" s="197"/>
      <c r="N112" s="144"/>
    </row>
    <row r="113" spans="4:14" ht="15.75" thickBot="1">
      <c r="D113" s="165"/>
      <c r="E113" s="113"/>
      <c r="F113" s="113"/>
      <c r="G113" s="157"/>
      <c r="H113" s="135"/>
      <c r="I113" s="135"/>
      <c r="J113" s="135"/>
      <c r="K113" s="135"/>
      <c r="L113" s="135"/>
      <c r="M113" s="197"/>
      <c r="N113" s="144"/>
    </row>
    <row r="114" spans="4:14" ht="15.75" thickBot="1">
      <c r="D114" s="165"/>
      <c r="E114" s="301" t="s">
        <v>266</v>
      </c>
      <c r="F114" s="301"/>
      <c r="G114" s="343">
        <v>2018</v>
      </c>
      <c r="H114" s="338" t="s">
        <v>27</v>
      </c>
      <c r="I114" s="338"/>
      <c r="J114" s="726" t="s">
        <v>1126</v>
      </c>
      <c r="K114" s="313">
        <f>SUM(J24)</f>
        <v>48.65387486924034</v>
      </c>
      <c r="L114" s="343" t="s">
        <v>466</v>
      </c>
      <c r="M114" s="387"/>
      <c r="N114" s="144"/>
    </row>
    <row r="115" spans="4:14">
      <c r="D115" s="165"/>
      <c r="E115" s="336"/>
      <c r="F115" s="336"/>
      <c r="G115" s="169">
        <v>2014</v>
      </c>
      <c r="H115" s="198" t="s">
        <v>130</v>
      </c>
      <c r="I115" s="198"/>
      <c r="J115" s="160" t="s">
        <v>930</v>
      </c>
      <c r="K115" s="159">
        <f>SUM(L59)</f>
        <v>45.904065630660369</v>
      </c>
      <c r="L115" s="169" t="s">
        <v>285</v>
      </c>
      <c r="M115" s="387"/>
      <c r="N115" s="144"/>
    </row>
    <row r="116" spans="4:14">
      <c r="D116" s="165"/>
      <c r="E116" s="113"/>
      <c r="F116" s="113"/>
      <c r="G116" s="169">
        <v>2015</v>
      </c>
      <c r="H116" s="198" t="s">
        <v>124</v>
      </c>
      <c r="I116" s="198"/>
      <c r="J116" s="160" t="s">
        <v>938</v>
      </c>
      <c r="K116" s="159">
        <f>SUM(L52)</f>
        <v>44.780059716531795</v>
      </c>
      <c r="L116" s="169" t="s">
        <v>343</v>
      </c>
      <c r="M116" s="197"/>
      <c r="N116" s="144"/>
    </row>
    <row r="117" spans="4:14" ht="15.75" thickBot="1">
      <c r="D117" s="165"/>
      <c r="E117" s="168"/>
      <c r="F117" s="168"/>
      <c r="G117" s="169">
        <v>2016</v>
      </c>
      <c r="H117" s="198" t="s">
        <v>215</v>
      </c>
      <c r="I117" s="198"/>
      <c r="J117" s="160" t="s">
        <v>947</v>
      </c>
      <c r="K117" s="159">
        <f>SUM(M38)</f>
        <v>40.471734957097112</v>
      </c>
      <c r="L117" s="169" t="s">
        <v>283</v>
      </c>
      <c r="M117" s="197"/>
      <c r="N117" s="144"/>
    </row>
    <row r="118" spans="4:14" ht="15.75" thickBot="1">
      <c r="D118" s="165"/>
      <c r="E118" s="301" t="s">
        <v>1031</v>
      </c>
      <c r="F118" s="301"/>
      <c r="G118" s="343">
        <v>2014</v>
      </c>
      <c r="H118" s="338" t="s">
        <v>132</v>
      </c>
      <c r="I118" s="338"/>
      <c r="J118" s="726" t="s">
        <v>276</v>
      </c>
      <c r="K118" s="313">
        <f>SUM(N59)</f>
        <v>47.49851109672727</v>
      </c>
      <c r="L118" s="343" t="s">
        <v>287</v>
      </c>
      <c r="M118" s="197"/>
      <c r="N118" s="144"/>
    </row>
    <row r="119" spans="4:14" ht="15.75" thickBot="1">
      <c r="D119" s="165"/>
      <c r="E119" s="168"/>
      <c r="F119" s="168"/>
      <c r="G119" s="169">
        <v>2016</v>
      </c>
      <c r="H119" s="198" t="s">
        <v>476</v>
      </c>
      <c r="I119" s="198"/>
      <c r="J119" s="359" t="s">
        <v>475</v>
      </c>
      <c r="K119" s="404">
        <v>0</v>
      </c>
      <c r="L119" s="169" t="s">
        <v>344</v>
      </c>
      <c r="M119" s="197"/>
      <c r="N119" s="144"/>
    </row>
    <row r="120" spans="4:14" ht="15.75" thickBot="1">
      <c r="D120" s="165"/>
      <c r="E120" s="301" t="s">
        <v>1186</v>
      </c>
      <c r="F120" s="517"/>
      <c r="G120" s="343">
        <v>2019</v>
      </c>
      <c r="H120" s="338" t="s">
        <v>88</v>
      </c>
      <c r="I120" s="338"/>
      <c r="J120" s="726" t="s">
        <v>1194</v>
      </c>
      <c r="K120" s="313">
        <f>SUM(L17)</f>
        <v>45.507067368421048</v>
      </c>
      <c r="L120" s="343" t="s">
        <v>285</v>
      </c>
      <c r="M120" s="197"/>
      <c r="N120" s="144"/>
    </row>
    <row r="121" spans="4:14" ht="15.75" thickBot="1">
      <c r="D121" s="165"/>
      <c r="E121" s="336"/>
      <c r="F121" s="113"/>
      <c r="G121" s="667">
        <v>2021</v>
      </c>
      <c r="H121" s="198" t="s">
        <v>626</v>
      </c>
      <c r="I121" s="198"/>
      <c r="J121" s="160" t="s">
        <v>1373</v>
      </c>
      <c r="K121" s="717">
        <f>SUM(L10)</f>
        <v>45.120628292682923</v>
      </c>
      <c r="L121" s="169" t="s">
        <v>283</v>
      </c>
      <c r="M121" s="197"/>
      <c r="N121" s="144"/>
    </row>
    <row r="122" spans="4:14" ht="15.75" thickBot="1">
      <c r="D122" s="165"/>
      <c r="E122" s="301" t="s">
        <v>267</v>
      </c>
      <c r="F122" s="301"/>
      <c r="G122" s="343">
        <v>2014</v>
      </c>
      <c r="H122" s="338" t="s">
        <v>131</v>
      </c>
      <c r="I122" s="338"/>
      <c r="J122" s="726" t="s">
        <v>934</v>
      </c>
      <c r="K122" s="313">
        <f>SUM(M59)</f>
        <v>44.844953304166665</v>
      </c>
      <c r="L122" s="343" t="s">
        <v>286</v>
      </c>
      <c r="M122" s="197"/>
      <c r="N122" s="144"/>
    </row>
    <row r="123" spans="4:14">
      <c r="D123" s="165"/>
      <c r="E123" s="113"/>
      <c r="F123" s="113"/>
      <c r="G123" s="169">
        <v>2015</v>
      </c>
      <c r="H123" s="198" t="s">
        <v>350</v>
      </c>
      <c r="I123" s="198"/>
      <c r="J123" s="160" t="s">
        <v>942</v>
      </c>
      <c r="K123" s="159">
        <f>SUM(P52)</f>
        <v>43.389420129425034</v>
      </c>
      <c r="L123" s="169" t="s">
        <v>346</v>
      </c>
      <c r="M123" s="197"/>
      <c r="N123" s="183"/>
    </row>
    <row r="124" spans="4:14">
      <c r="D124" s="165"/>
      <c r="E124" s="113"/>
      <c r="F124" s="113"/>
      <c r="G124" s="169">
        <v>2018</v>
      </c>
      <c r="H124" s="198" t="s">
        <v>239</v>
      </c>
      <c r="I124" s="198"/>
      <c r="J124" s="160" t="s">
        <v>1127</v>
      </c>
      <c r="K124" s="159">
        <f>SUM(K24)</f>
        <v>42.074398461538465</v>
      </c>
      <c r="L124" s="169" t="s">
        <v>1000</v>
      </c>
      <c r="M124" s="197"/>
      <c r="N124" s="183"/>
    </row>
    <row r="125" spans="4:14">
      <c r="D125" s="165"/>
      <c r="E125" s="168"/>
      <c r="F125" s="168"/>
      <c r="G125" s="169">
        <v>2016</v>
      </c>
      <c r="H125" s="198" t="s">
        <v>185</v>
      </c>
      <c r="I125" s="198"/>
      <c r="J125" s="160" t="s">
        <v>950</v>
      </c>
      <c r="K125" s="159">
        <f>SUM(P38)</f>
        <v>41.256823027952322</v>
      </c>
      <c r="L125" s="169" t="s">
        <v>284</v>
      </c>
      <c r="M125" s="166"/>
      <c r="N125" s="183"/>
    </row>
    <row r="126" spans="4:14">
      <c r="D126" s="165"/>
      <c r="E126" s="168"/>
      <c r="F126" s="168"/>
      <c r="G126" s="169">
        <v>2017</v>
      </c>
      <c r="H126" s="198" t="s">
        <v>1036</v>
      </c>
      <c r="I126" s="198"/>
      <c r="J126" s="160" t="s">
        <v>1037</v>
      </c>
      <c r="K126" s="159">
        <f>SUM(K31)</f>
        <v>39.842221487603297</v>
      </c>
      <c r="L126" s="169" t="s">
        <v>1024</v>
      </c>
      <c r="M126" s="166"/>
      <c r="N126" s="183"/>
    </row>
    <row r="127" spans="4:14">
      <c r="D127" s="165"/>
      <c r="E127" s="168"/>
      <c r="F127" s="168"/>
      <c r="G127" s="667">
        <v>2021</v>
      </c>
      <c r="H127" s="198" t="s">
        <v>160</v>
      </c>
      <c r="I127" s="198"/>
      <c r="J127" s="160" t="s">
        <v>1364</v>
      </c>
      <c r="K127" s="717">
        <f>SUM(N10)</f>
        <v>39.356242919708023</v>
      </c>
      <c r="L127" s="169" t="s">
        <v>1308</v>
      </c>
      <c r="M127" s="166"/>
      <c r="N127" s="183"/>
    </row>
    <row r="128" spans="4:14" ht="15.75" thickBot="1">
      <c r="D128" s="165"/>
      <c r="E128" s="168"/>
      <c r="F128" s="168"/>
      <c r="G128" s="169">
        <v>2019</v>
      </c>
      <c r="H128" s="198" t="s">
        <v>674</v>
      </c>
      <c r="I128" s="198"/>
      <c r="J128" s="160" t="s">
        <v>1195</v>
      </c>
      <c r="K128" s="159">
        <f>SUM(M17)</f>
        <v>38.061372560975599</v>
      </c>
      <c r="L128" s="169" t="s">
        <v>1171</v>
      </c>
      <c r="M128" s="166"/>
      <c r="N128" s="183"/>
    </row>
    <row r="129" spans="2:17" ht="15.75" thickBot="1">
      <c r="D129" s="165"/>
      <c r="E129" s="301" t="s">
        <v>1030</v>
      </c>
      <c r="F129" s="301"/>
      <c r="G129" s="343">
        <v>2017</v>
      </c>
      <c r="H129" s="338" t="s">
        <v>798</v>
      </c>
      <c r="I129" s="338"/>
      <c r="J129" s="726" t="s">
        <v>1041</v>
      </c>
      <c r="K129" s="313">
        <f>SUM(J31)</f>
        <v>42.085016768558944</v>
      </c>
      <c r="L129" s="343" t="s">
        <v>1000</v>
      </c>
      <c r="M129" s="297"/>
      <c r="N129" s="183"/>
    </row>
    <row r="130" spans="2:17" ht="15.75" thickBot="1">
      <c r="D130" s="165"/>
      <c r="E130" s="336"/>
      <c r="F130" s="336"/>
      <c r="G130" s="169"/>
      <c r="H130" s="198"/>
      <c r="I130" s="198"/>
      <c r="J130" s="129"/>
      <c r="K130" s="159"/>
      <c r="L130" s="169"/>
      <c r="M130" s="297"/>
      <c r="N130" s="183"/>
    </row>
    <row r="131" spans="2:17" ht="15.75" thickBot="1">
      <c r="D131" s="165"/>
      <c r="E131" s="301" t="s">
        <v>265</v>
      </c>
      <c r="F131" s="301"/>
      <c r="G131" s="343">
        <v>2014</v>
      </c>
      <c r="H131" s="338" t="s">
        <v>129</v>
      </c>
      <c r="I131" s="338"/>
      <c r="J131" s="726" t="s">
        <v>929</v>
      </c>
      <c r="K131" s="313">
        <f>SUM(K59)</f>
        <v>40.917459262432729</v>
      </c>
      <c r="L131" s="343" t="s">
        <v>284</v>
      </c>
      <c r="M131" s="297"/>
      <c r="N131" s="183"/>
    </row>
    <row r="132" spans="2:17" ht="15.75" thickBot="1">
      <c r="D132" s="170"/>
      <c r="E132" s="719"/>
      <c r="F132" s="719"/>
      <c r="G132" s="720">
        <v>2016</v>
      </c>
      <c r="H132" s="721" t="s">
        <v>476</v>
      </c>
      <c r="I132" s="722"/>
      <c r="J132" s="723" t="s">
        <v>475</v>
      </c>
      <c r="K132" s="724"/>
      <c r="L132" s="720" t="s">
        <v>1000</v>
      </c>
      <c r="M132" s="668"/>
      <c r="N132" s="183"/>
    </row>
    <row r="133" spans="2:17">
      <c r="D133" s="144"/>
      <c r="E133" s="718"/>
      <c r="F133" s="718"/>
      <c r="G133" s="144"/>
      <c r="H133" s="183"/>
      <c r="I133" s="183"/>
      <c r="J133" s="183"/>
      <c r="K133" s="183"/>
      <c r="L133" s="183"/>
      <c r="M133" s="183"/>
    </row>
    <row r="136" spans="2:17">
      <c r="C136" s="289"/>
      <c r="D136" s="285"/>
      <c r="H136"/>
      <c r="I136"/>
      <c r="J136"/>
      <c r="K136"/>
      <c r="L136"/>
      <c r="M136"/>
      <c r="N136"/>
      <c r="O136"/>
      <c r="P136"/>
      <c r="Q136"/>
    </row>
    <row r="137" spans="2:17">
      <c r="C137" s="290"/>
      <c r="D137" s="294" t="s">
        <v>464</v>
      </c>
      <c r="E137" s="240" t="s">
        <v>1167</v>
      </c>
      <c r="F137" s="240"/>
      <c r="G137" s="452" t="s">
        <v>1177</v>
      </c>
      <c r="H137" s="453" t="s">
        <v>1176</v>
      </c>
      <c r="I137" s="453"/>
      <c r="J137" s="115"/>
      <c r="K137" s="449"/>
      <c r="L137" s="115"/>
      <c r="M137" s="115"/>
      <c r="N137" s="452" t="s">
        <v>1174</v>
      </c>
      <c r="O137" s="193" t="s">
        <v>1175</v>
      </c>
    </row>
    <row r="138" spans="2:17" ht="15.75" thickBot="1">
      <c r="B138" s="226"/>
      <c r="C138" s="287"/>
      <c r="D138" s="288" t="s">
        <v>462</v>
      </c>
      <c r="E138" s="283" t="s">
        <v>1014</v>
      </c>
      <c r="F138" s="227"/>
      <c r="G138" s="447" t="s">
        <v>1012</v>
      </c>
      <c r="H138" s="227" t="s">
        <v>454</v>
      </c>
      <c r="I138" s="227"/>
      <c r="J138" s="227" t="s">
        <v>455</v>
      </c>
      <c r="K138" s="450" t="s">
        <v>456</v>
      </c>
      <c r="L138" s="228" t="s">
        <v>457</v>
      </c>
      <c r="M138" s="227" t="s">
        <v>458</v>
      </c>
      <c r="N138" s="447" t="s">
        <v>459</v>
      </c>
      <c r="O138" s="229" t="s">
        <v>460</v>
      </c>
      <c r="P138" s="230"/>
      <c r="Q138" s="479"/>
    </row>
    <row r="139" spans="2:17">
      <c r="C139" s="290"/>
      <c r="D139" s="286" t="s">
        <v>461</v>
      </c>
      <c r="E139" s="284" t="s">
        <v>1015</v>
      </c>
      <c r="F139" s="224"/>
      <c r="G139" s="448" t="s">
        <v>1013</v>
      </c>
      <c r="H139" s="225">
        <v>17.55</v>
      </c>
      <c r="I139" s="225"/>
      <c r="J139" s="224" t="s">
        <v>449</v>
      </c>
      <c r="K139" s="451" t="s">
        <v>450</v>
      </c>
      <c r="L139" s="225">
        <v>37.25</v>
      </c>
      <c r="M139" s="224" t="s">
        <v>451</v>
      </c>
      <c r="N139" s="451" t="s">
        <v>452</v>
      </c>
      <c r="O139" s="224" t="s">
        <v>453</v>
      </c>
    </row>
    <row r="140" spans="2:17">
      <c r="C140" s="291"/>
      <c r="D140" s="315" t="s">
        <v>1018</v>
      </c>
    </row>
    <row r="142" spans="2:17">
      <c r="C142" s="289"/>
      <c r="D142" s="285"/>
      <c r="H142"/>
      <c r="I142"/>
      <c r="J142"/>
      <c r="K142"/>
      <c r="L142"/>
      <c r="M142"/>
      <c r="N142"/>
      <c r="O142"/>
      <c r="P142"/>
      <c r="Q142"/>
    </row>
    <row r="143" spans="2:17">
      <c r="C143" s="290"/>
      <c r="D143" s="294" t="s">
        <v>1153</v>
      </c>
      <c r="E143" s="240" t="s">
        <v>1168</v>
      </c>
      <c r="F143" s="240"/>
      <c r="G143" s="144"/>
      <c r="H143" s="115"/>
      <c r="I143" s="115"/>
      <c r="J143" s="115"/>
      <c r="K143" s="115"/>
      <c r="L143" s="115"/>
      <c r="M143" s="115"/>
    </row>
    <row r="144" spans="2:17" ht="15.75" thickBot="1">
      <c r="B144" s="226"/>
      <c r="C144" s="287"/>
      <c r="D144" s="288" t="s">
        <v>1154</v>
      </c>
      <c r="E144" s="283" t="s">
        <v>1164</v>
      </c>
      <c r="F144" s="227"/>
      <c r="G144" s="228" t="s">
        <v>1165</v>
      </c>
      <c r="H144" s="227" t="s">
        <v>1156</v>
      </c>
      <c r="I144" s="227"/>
      <c r="J144" s="227" t="s">
        <v>1157</v>
      </c>
      <c r="K144" s="227" t="s">
        <v>1158</v>
      </c>
      <c r="L144" s="228" t="s">
        <v>1159</v>
      </c>
      <c r="M144" s="227"/>
      <c r="N144" s="228" t="s">
        <v>1163</v>
      </c>
      <c r="O144" s="229"/>
      <c r="P144" s="230"/>
      <c r="Q144" s="479"/>
    </row>
    <row r="145" spans="1:18">
      <c r="C145" s="290"/>
      <c r="D145" s="286" t="s">
        <v>1155</v>
      </c>
      <c r="E145" s="284" t="s">
        <v>152</v>
      </c>
      <c r="F145" s="224"/>
      <c r="G145" s="225" t="s">
        <v>1160</v>
      </c>
      <c r="H145" s="224" t="s">
        <v>1161</v>
      </c>
      <c r="I145" s="224"/>
      <c r="J145" s="224" t="s">
        <v>644</v>
      </c>
      <c r="K145" s="224" t="s">
        <v>160</v>
      </c>
      <c r="L145" s="224" t="s">
        <v>221</v>
      </c>
      <c r="M145" s="224"/>
      <c r="N145" s="224" t="s">
        <v>1162</v>
      </c>
      <c r="O145" s="130" t="s">
        <v>1152</v>
      </c>
      <c r="P145" s="454" t="s">
        <v>270</v>
      </c>
      <c r="Q145" s="454"/>
    </row>
    <row r="146" spans="1:18">
      <c r="C146" s="291"/>
      <c r="D146" s="315" t="s">
        <v>1166</v>
      </c>
      <c r="O146" s="183"/>
      <c r="P146" s="183"/>
      <c r="Q146" s="183"/>
    </row>
    <row r="147" spans="1:18">
      <c r="C147" s="168"/>
      <c r="D147" s="412"/>
    </row>
    <row r="148" spans="1:18">
      <c r="D148" s="142" t="s">
        <v>463</v>
      </c>
      <c r="E148" s="143"/>
      <c r="F148" s="143"/>
      <c r="O148"/>
    </row>
    <row r="149" spans="1:18" ht="15.75" thickBot="1">
      <c r="N149"/>
      <c r="O149"/>
    </row>
    <row r="150" spans="1:18">
      <c r="D150" s="132">
        <v>2015</v>
      </c>
      <c r="E150" s="220" t="s">
        <v>335</v>
      </c>
      <c r="F150" s="316"/>
      <c r="G150" s="203"/>
      <c r="H150" s="203"/>
      <c r="I150" s="203"/>
      <c r="J150" s="203"/>
      <c r="K150" s="203"/>
      <c r="L150" s="203"/>
      <c r="M150" s="217"/>
      <c r="N150" s="203"/>
      <c r="O150"/>
    </row>
    <row r="151" spans="1:18">
      <c r="D151" s="204" t="s">
        <v>314</v>
      </c>
      <c r="E151" s="215" t="s">
        <v>315</v>
      </c>
      <c r="F151" s="317"/>
      <c r="G151" s="205" t="s">
        <v>336</v>
      </c>
      <c r="H151" s="548" t="s">
        <v>316</v>
      </c>
      <c r="I151" s="205"/>
      <c r="J151" s="205" t="s">
        <v>317</v>
      </c>
      <c r="K151" s="205" t="s">
        <v>270</v>
      </c>
      <c r="L151" s="205" t="s">
        <v>318</v>
      </c>
      <c r="M151" s="219" t="s">
        <v>311</v>
      </c>
      <c r="N151" s="206" t="s">
        <v>337</v>
      </c>
      <c r="O151" s="131"/>
    </row>
    <row r="152" spans="1:18">
      <c r="D152" s="292" t="s">
        <v>1019</v>
      </c>
      <c r="E152" s="212" t="s">
        <v>319</v>
      </c>
      <c r="F152" s="241"/>
      <c r="G152" s="208" t="s">
        <v>320</v>
      </c>
      <c r="H152" s="547" t="s">
        <v>1287</v>
      </c>
      <c r="I152" s="318"/>
      <c r="J152" s="208" t="s">
        <v>321</v>
      </c>
      <c r="K152" s="209">
        <v>3.0193287037037033E-3</v>
      </c>
      <c r="L152" s="208" t="s">
        <v>322</v>
      </c>
      <c r="M152" s="213" t="s">
        <v>323</v>
      </c>
      <c r="N152" s="211" t="s">
        <v>473</v>
      </c>
      <c r="O152" s="131"/>
    </row>
    <row r="153" spans="1:18">
      <c r="D153" s="292" t="s">
        <v>1020</v>
      </c>
      <c r="E153" s="207" t="s">
        <v>325</v>
      </c>
      <c r="F153" s="242"/>
      <c r="G153" s="208" t="s">
        <v>326</v>
      </c>
      <c r="H153" s="547" t="s">
        <v>1288</v>
      </c>
      <c r="I153" s="318"/>
      <c r="J153" s="208" t="s">
        <v>327</v>
      </c>
      <c r="K153" s="209">
        <v>3.1269675925925926E-3</v>
      </c>
      <c r="L153" s="208" t="s">
        <v>328</v>
      </c>
      <c r="M153" s="210" t="s">
        <v>329</v>
      </c>
      <c r="N153" s="214" t="s">
        <v>474</v>
      </c>
      <c r="O153" s="131"/>
    </row>
    <row r="154" spans="1:18" ht="15.75" thickBot="1">
      <c r="D154" s="292" t="s">
        <v>1021</v>
      </c>
      <c r="E154" s="216" t="s">
        <v>330</v>
      </c>
      <c r="F154" s="241"/>
      <c r="G154" s="208" t="s">
        <v>331</v>
      </c>
      <c r="H154" s="547" t="s">
        <v>1289</v>
      </c>
      <c r="I154" s="318"/>
      <c r="J154" s="208" t="s">
        <v>1290</v>
      </c>
      <c r="K154" s="209">
        <v>3.2679398148148151E-3</v>
      </c>
      <c r="L154" s="208" t="s">
        <v>333</v>
      </c>
      <c r="M154" s="218" t="s">
        <v>334</v>
      </c>
      <c r="N154" s="214" t="s">
        <v>474</v>
      </c>
      <c r="O154" s="131"/>
    </row>
    <row r="155" spans="1:18">
      <c r="D155" s="292"/>
      <c r="E155" s="310"/>
      <c r="F155" s="310"/>
      <c r="G155" s="208"/>
      <c r="H155" s="293"/>
      <c r="I155" s="293"/>
      <c r="J155" s="208"/>
      <c r="K155" s="209"/>
      <c r="L155" s="208"/>
      <c r="M155" s="311"/>
      <c r="N155" s="312"/>
      <c r="O155" s="131"/>
    </row>
    <row r="157" spans="1:18" ht="23.25">
      <c r="D157" s="20" t="s">
        <v>280</v>
      </c>
      <c r="L157" s="20" t="s">
        <v>1291</v>
      </c>
      <c r="P157" s="307"/>
      <c r="Q157" s="307"/>
    </row>
    <row r="158" spans="1:18">
      <c r="A158" s="16"/>
      <c r="B158" s="11" t="s">
        <v>0</v>
      </c>
      <c r="C158" s="12" t="s">
        <v>1</v>
      </c>
      <c r="D158" s="12" t="s">
        <v>2</v>
      </c>
      <c r="E158" s="12" t="s">
        <v>3</v>
      </c>
      <c r="F158" s="12"/>
      <c r="G158" s="12" t="s">
        <v>4</v>
      </c>
      <c r="H158" s="12" t="s">
        <v>5</v>
      </c>
      <c r="I158" s="12"/>
      <c r="J158" s="12" t="s">
        <v>6</v>
      </c>
      <c r="K158" s="12" t="s">
        <v>7</v>
      </c>
      <c r="L158" s="12" t="s">
        <v>8</v>
      </c>
      <c r="M158" s="12" t="s">
        <v>9</v>
      </c>
      <c r="N158" s="12" t="s">
        <v>10</v>
      </c>
      <c r="O158" s="12" t="s">
        <v>11</v>
      </c>
      <c r="P158" s="308" t="s">
        <v>12</v>
      </c>
      <c r="Q158" s="308"/>
      <c r="R158" s="190"/>
    </row>
    <row r="159" spans="1:18">
      <c r="A159" s="16"/>
      <c r="B159" s="16">
        <v>1</v>
      </c>
      <c r="C159" s="184">
        <v>230</v>
      </c>
      <c r="D159" s="191" t="s">
        <v>13</v>
      </c>
      <c r="E159" s="191" t="s">
        <v>14</v>
      </c>
      <c r="F159" s="191"/>
      <c r="G159" s="185" t="s">
        <v>15</v>
      </c>
      <c r="H159" s="185" t="s">
        <v>16</v>
      </c>
      <c r="I159" s="185"/>
      <c r="J159" s="185" t="s">
        <v>17</v>
      </c>
      <c r="K159" s="185" t="s">
        <v>18</v>
      </c>
      <c r="L159" s="185" t="s">
        <v>19</v>
      </c>
      <c r="M159" s="185" t="s">
        <v>20</v>
      </c>
      <c r="N159" s="185" t="s">
        <v>21</v>
      </c>
      <c r="O159" s="185" t="s">
        <v>22</v>
      </c>
      <c r="P159" s="309" t="s">
        <v>23</v>
      </c>
      <c r="Q159" s="309"/>
      <c r="R159" s="16"/>
    </row>
    <row r="160" spans="1:18">
      <c r="A160" s="16"/>
      <c r="B160" s="16">
        <v>2</v>
      </c>
      <c r="C160" s="184">
        <v>212</v>
      </c>
      <c r="D160" s="191" t="s">
        <v>24</v>
      </c>
      <c r="E160" s="191" t="s">
        <v>25</v>
      </c>
      <c r="F160" s="191"/>
      <c r="G160" s="185" t="s">
        <v>15</v>
      </c>
      <c r="H160" s="185" t="s">
        <v>26</v>
      </c>
      <c r="I160" s="185"/>
      <c r="J160" s="185" t="s">
        <v>27</v>
      </c>
      <c r="K160" s="185" t="s">
        <v>28</v>
      </c>
      <c r="L160" s="185" t="s">
        <v>29</v>
      </c>
      <c r="M160" s="185" t="s">
        <v>30</v>
      </c>
      <c r="N160" s="185" t="s">
        <v>31</v>
      </c>
      <c r="O160" s="185" t="s">
        <v>32</v>
      </c>
      <c r="P160" s="309" t="s">
        <v>33</v>
      </c>
      <c r="Q160" s="309"/>
      <c r="R160" s="16"/>
    </row>
    <row r="161" spans="1:18">
      <c r="A161" s="16"/>
      <c r="B161" s="16">
        <v>3</v>
      </c>
      <c r="C161" s="184">
        <v>225</v>
      </c>
      <c r="D161" s="191" t="s">
        <v>34</v>
      </c>
      <c r="E161" s="191" t="s">
        <v>35</v>
      </c>
      <c r="F161" s="191"/>
      <c r="G161" s="185" t="s">
        <v>15</v>
      </c>
      <c r="H161" s="185" t="s">
        <v>36</v>
      </c>
      <c r="I161" s="185"/>
      <c r="J161" s="185" t="s">
        <v>37</v>
      </c>
      <c r="K161" s="185" t="s">
        <v>38</v>
      </c>
      <c r="L161" s="185" t="s">
        <v>39</v>
      </c>
      <c r="M161" s="185" t="s">
        <v>40</v>
      </c>
      <c r="N161" s="185" t="s">
        <v>41</v>
      </c>
      <c r="O161" s="185" t="s">
        <v>42</v>
      </c>
      <c r="P161" s="309" t="s">
        <v>43</v>
      </c>
      <c r="Q161" s="309"/>
      <c r="R161" s="16"/>
    </row>
    <row r="162" spans="1:18">
      <c r="A162" s="16"/>
      <c r="B162" s="16">
        <v>4</v>
      </c>
      <c r="C162" s="184">
        <v>210</v>
      </c>
      <c r="D162" s="191" t="s">
        <v>44</v>
      </c>
      <c r="E162" s="191" t="s">
        <v>45</v>
      </c>
      <c r="F162" s="191"/>
      <c r="G162" s="185" t="s">
        <v>15</v>
      </c>
      <c r="H162" s="185" t="s">
        <v>46</v>
      </c>
      <c r="I162" s="185"/>
      <c r="J162" s="185" t="s">
        <v>47</v>
      </c>
      <c r="K162" s="185" t="s">
        <v>48</v>
      </c>
      <c r="L162" s="185" t="s">
        <v>49</v>
      </c>
      <c r="M162" s="185" t="s">
        <v>50</v>
      </c>
      <c r="N162" s="185" t="s">
        <v>51</v>
      </c>
      <c r="O162" s="185" t="s">
        <v>52</v>
      </c>
      <c r="P162" s="309" t="s">
        <v>53</v>
      </c>
      <c r="Q162" s="309"/>
      <c r="R162" s="16"/>
    </row>
    <row r="163" spans="1:18">
      <c r="A163" s="16"/>
      <c r="B163" s="16">
        <v>5</v>
      </c>
      <c r="C163" s="184">
        <v>208</v>
      </c>
      <c r="D163" s="191" t="s">
        <v>54</v>
      </c>
      <c r="E163" s="191" t="s">
        <v>55</v>
      </c>
      <c r="F163" s="191"/>
      <c r="G163" s="185" t="s">
        <v>15</v>
      </c>
      <c r="H163" s="185" t="s">
        <v>56</v>
      </c>
      <c r="I163" s="185"/>
      <c r="J163" s="185" t="s">
        <v>57</v>
      </c>
      <c r="K163" s="185" t="s">
        <v>58</v>
      </c>
      <c r="L163" s="185" t="s">
        <v>59</v>
      </c>
      <c r="M163" s="185" t="s">
        <v>49</v>
      </c>
      <c r="N163" s="185" t="s">
        <v>60</v>
      </c>
      <c r="O163" s="185" t="s">
        <v>61</v>
      </c>
      <c r="P163" s="309" t="s">
        <v>62</v>
      </c>
      <c r="Q163" s="309"/>
      <c r="R163" s="16"/>
    </row>
    <row r="164" spans="1:18">
      <c r="A164" s="16"/>
      <c r="B164" s="16">
        <v>6</v>
      </c>
      <c r="C164" s="184">
        <v>233</v>
      </c>
      <c r="D164" s="191" t="s">
        <v>63</v>
      </c>
      <c r="E164" s="191" t="s">
        <v>64</v>
      </c>
      <c r="F164" s="191"/>
      <c r="G164" s="185" t="s">
        <v>15</v>
      </c>
      <c r="H164" s="185" t="s">
        <v>36</v>
      </c>
      <c r="I164" s="185"/>
      <c r="J164" s="185" t="s">
        <v>65</v>
      </c>
      <c r="K164" s="185" t="s">
        <v>66</v>
      </c>
      <c r="L164" s="185" t="s">
        <v>67</v>
      </c>
      <c r="M164" s="185" t="s">
        <v>47</v>
      </c>
      <c r="N164" s="185" t="s">
        <v>66</v>
      </c>
      <c r="O164" s="185" t="s">
        <v>68</v>
      </c>
      <c r="P164" s="309" t="s">
        <v>69</v>
      </c>
      <c r="Q164" s="309"/>
      <c r="R164" s="16"/>
    </row>
    <row r="165" spans="1:18">
      <c r="A165" s="16"/>
      <c r="B165" s="16">
        <v>7</v>
      </c>
      <c r="C165" s="184">
        <v>234</v>
      </c>
      <c r="D165" s="191" t="s">
        <v>70</v>
      </c>
      <c r="E165" s="191" t="s">
        <v>71</v>
      </c>
      <c r="F165" s="191"/>
      <c r="G165" s="185" t="s">
        <v>15</v>
      </c>
      <c r="H165" s="185" t="s">
        <v>72</v>
      </c>
      <c r="I165" s="185"/>
      <c r="J165" s="185" t="s">
        <v>73</v>
      </c>
      <c r="K165" s="185" t="s">
        <v>74</v>
      </c>
      <c r="L165" s="185" t="s">
        <v>75</v>
      </c>
      <c r="M165" s="185" t="s">
        <v>76</v>
      </c>
      <c r="N165" s="185" t="s">
        <v>77</v>
      </c>
      <c r="O165" s="185" t="s">
        <v>78</v>
      </c>
      <c r="P165" s="309" t="s">
        <v>79</v>
      </c>
      <c r="Q165" s="309"/>
      <c r="R165" s="16"/>
    </row>
    <row r="166" spans="1:18">
      <c r="A166" s="16"/>
      <c r="B166" s="16">
        <v>8</v>
      </c>
      <c r="C166" s="184">
        <v>207</v>
      </c>
      <c r="D166" s="191" t="s">
        <v>80</v>
      </c>
      <c r="E166" s="191" t="s">
        <v>81</v>
      </c>
      <c r="F166" s="191"/>
      <c r="G166" s="185" t="s">
        <v>15</v>
      </c>
      <c r="H166" s="185" t="s">
        <v>82</v>
      </c>
      <c r="I166" s="185"/>
      <c r="J166" s="185" t="s">
        <v>83</v>
      </c>
      <c r="K166" s="185" t="s">
        <v>84</v>
      </c>
      <c r="L166" s="185" t="s">
        <v>85</v>
      </c>
      <c r="M166" s="185" t="s">
        <v>86</v>
      </c>
      <c r="N166" s="185" t="s">
        <v>87</v>
      </c>
      <c r="O166" s="185" t="s">
        <v>88</v>
      </c>
      <c r="P166" s="309" t="s">
        <v>89</v>
      </c>
      <c r="Q166" s="309"/>
      <c r="R166" s="16"/>
    </row>
    <row r="167" spans="1:18">
      <c r="A167" s="16"/>
      <c r="B167" s="16">
        <v>9</v>
      </c>
      <c r="C167" s="184">
        <v>218</v>
      </c>
      <c r="D167" s="191" t="s">
        <v>90</v>
      </c>
      <c r="E167" s="191" t="s">
        <v>91</v>
      </c>
      <c r="F167" s="191"/>
      <c r="G167" s="185" t="s">
        <v>15</v>
      </c>
      <c r="H167" s="185" t="s">
        <v>92</v>
      </c>
      <c r="I167" s="185"/>
      <c r="J167" s="185" t="s">
        <v>93</v>
      </c>
      <c r="K167" s="185" t="s">
        <v>94</v>
      </c>
      <c r="L167" s="185" t="s">
        <v>47</v>
      </c>
      <c r="M167" s="185" t="s">
        <v>95</v>
      </c>
      <c r="N167" s="185" t="s">
        <v>96</v>
      </c>
      <c r="O167" s="185" t="s">
        <v>97</v>
      </c>
      <c r="P167" s="309" t="s">
        <v>98</v>
      </c>
      <c r="Q167" s="309"/>
      <c r="R167" s="16"/>
    </row>
    <row r="168" spans="1:18">
      <c r="A168" s="16"/>
      <c r="B168" s="16">
        <v>10</v>
      </c>
      <c r="C168" s="184">
        <v>228</v>
      </c>
      <c r="D168" s="191" t="s">
        <v>99</v>
      </c>
      <c r="E168" s="191" t="s">
        <v>100</v>
      </c>
      <c r="F168" s="191"/>
      <c r="G168" s="185" t="s">
        <v>15</v>
      </c>
      <c r="H168" s="185" t="s">
        <v>101</v>
      </c>
      <c r="I168" s="185"/>
      <c r="J168" s="185" t="s">
        <v>102</v>
      </c>
      <c r="K168" s="185" t="s">
        <v>103</v>
      </c>
      <c r="L168" s="185" t="s">
        <v>104</v>
      </c>
      <c r="M168" s="185" t="s">
        <v>105</v>
      </c>
      <c r="N168" s="185" t="s">
        <v>67</v>
      </c>
      <c r="O168" s="185" t="s">
        <v>106</v>
      </c>
      <c r="P168" s="309" t="s">
        <v>107</v>
      </c>
      <c r="Q168" s="309"/>
      <c r="R168" s="16"/>
    </row>
    <row r="169" spans="1:18">
      <c r="A169" s="16"/>
      <c r="B169" s="16">
        <v>11</v>
      </c>
      <c r="C169" s="184">
        <v>203</v>
      </c>
      <c r="D169" s="191" t="s">
        <v>108</v>
      </c>
      <c r="E169" s="191" t="s">
        <v>109</v>
      </c>
      <c r="F169" s="191"/>
      <c r="G169" s="185" t="s">
        <v>15</v>
      </c>
      <c r="H169" s="185" t="s">
        <v>31</v>
      </c>
      <c r="I169" s="185"/>
      <c r="J169" s="185" t="s">
        <v>110</v>
      </c>
      <c r="K169" s="185" t="s">
        <v>111</v>
      </c>
      <c r="L169" s="185" t="s">
        <v>112</v>
      </c>
      <c r="M169" s="185" t="s">
        <v>113</v>
      </c>
      <c r="N169" s="185" t="s">
        <v>114</v>
      </c>
      <c r="O169" s="185" t="s">
        <v>111</v>
      </c>
      <c r="P169" s="309" t="s">
        <v>115</v>
      </c>
      <c r="Q169" s="309"/>
      <c r="R169" s="16"/>
    </row>
    <row r="170" spans="1:18">
      <c r="A170" s="16"/>
      <c r="B170" s="16">
        <v>12</v>
      </c>
      <c r="C170" s="184">
        <v>215</v>
      </c>
      <c r="D170" s="191" t="s">
        <v>116</v>
      </c>
      <c r="E170" s="191" t="s">
        <v>117</v>
      </c>
      <c r="F170" s="191"/>
      <c r="G170" s="185" t="s">
        <v>15</v>
      </c>
      <c r="H170" s="185" t="s">
        <v>118</v>
      </c>
      <c r="I170" s="185"/>
      <c r="J170" s="185" t="s">
        <v>119</v>
      </c>
      <c r="K170" s="185" t="s">
        <v>120</v>
      </c>
      <c r="L170" s="185" t="s">
        <v>121</v>
      </c>
      <c r="M170" s="185" t="s">
        <v>122</v>
      </c>
      <c r="N170" s="185" t="s">
        <v>123</v>
      </c>
      <c r="O170" s="185" t="s">
        <v>124</v>
      </c>
      <c r="P170" s="309" t="s">
        <v>125</v>
      </c>
      <c r="Q170" s="309"/>
      <c r="R170" s="16"/>
    </row>
    <row r="171" spans="1:18">
      <c r="A171" s="16"/>
      <c r="B171" s="187">
        <v>13</v>
      </c>
      <c r="C171" s="188">
        <v>214</v>
      </c>
      <c r="D171" s="192" t="s">
        <v>481</v>
      </c>
      <c r="E171" s="192" t="s">
        <v>127</v>
      </c>
      <c r="F171" s="192"/>
      <c r="G171" s="189" t="s">
        <v>15</v>
      </c>
      <c r="H171" s="189" t="s">
        <v>128</v>
      </c>
      <c r="I171" s="189"/>
      <c r="J171" s="189" t="s">
        <v>129</v>
      </c>
      <c r="K171" s="189" t="s">
        <v>130</v>
      </c>
      <c r="L171" s="189" t="s">
        <v>131</v>
      </c>
      <c r="M171" s="189" t="s">
        <v>132</v>
      </c>
      <c r="N171" s="189" t="s">
        <v>133</v>
      </c>
      <c r="O171" s="189" t="s">
        <v>134</v>
      </c>
      <c r="P171" s="309" t="s">
        <v>135</v>
      </c>
      <c r="Q171" s="309"/>
      <c r="R171" s="186"/>
    </row>
    <row r="172" spans="1:18">
      <c r="A172" s="16"/>
      <c r="B172" s="16">
        <v>14</v>
      </c>
      <c r="C172" s="184">
        <v>227</v>
      </c>
      <c r="D172" s="191" t="s">
        <v>136</v>
      </c>
      <c r="E172" s="191" t="s">
        <v>137</v>
      </c>
      <c r="F172" s="191"/>
      <c r="G172" s="185" t="s">
        <v>15</v>
      </c>
      <c r="H172" s="185" t="s">
        <v>138</v>
      </c>
      <c r="I172" s="185"/>
      <c r="J172" s="185" t="s">
        <v>27</v>
      </c>
      <c r="K172" s="185" t="s">
        <v>139</v>
      </c>
      <c r="L172" s="185" t="s">
        <v>140</v>
      </c>
      <c r="M172" s="185" t="s">
        <v>141</v>
      </c>
      <c r="N172" s="185" t="s">
        <v>142</v>
      </c>
      <c r="O172" s="185" t="s">
        <v>143</v>
      </c>
      <c r="P172" s="309" t="s">
        <v>144</v>
      </c>
      <c r="Q172" s="309"/>
      <c r="R172" s="16"/>
    </row>
    <row r="173" spans="1:18">
      <c r="A173" s="16"/>
      <c r="B173" s="16">
        <v>15</v>
      </c>
      <c r="C173" s="184">
        <v>232</v>
      </c>
      <c r="D173" s="191" t="s">
        <v>145</v>
      </c>
      <c r="E173" s="191" t="s">
        <v>146</v>
      </c>
      <c r="F173" s="191"/>
      <c r="G173" s="185" t="s">
        <v>15</v>
      </c>
      <c r="H173" s="185" t="s">
        <v>110</v>
      </c>
      <c r="I173" s="185"/>
      <c r="J173" s="185" t="s">
        <v>147</v>
      </c>
      <c r="K173" s="185" t="s">
        <v>148</v>
      </c>
      <c r="L173" s="185" t="s">
        <v>149</v>
      </c>
      <c r="M173" s="185" t="s">
        <v>150</v>
      </c>
      <c r="N173" s="185" t="s">
        <v>151</v>
      </c>
      <c r="O173" s="185" t="s">
        <v>152</v>
      </c>
      <c r="P173" s="309" t="s">
        <v>153</v>
      </c>
      <c r="Q173" s="309"/>
      <c r="R173" s="16"/>
    </row>
    <row r="174" spans="1:18">
      <c r="A174" s="16"/>
      <c r="B174" s="16">
        <v>16</v>
      </c>
      <c r="C174" s="184">
        <v>209</v>
      </c>
      <c r="D174" s="191" t="s">
        <v>154</v>
      </c>
      <c r="E174" s="191" t="s">
        <v>155</v>
      </c>
      <c r="F174" s="191"/>
      <c r="G174" s="185" t="s">
        <v>15</v>
      </c>
      <c r="H174" s="185" t="s">
        <v>156</v>
      </c>
      <c r="I174" s="185"/>
      <c r="J174" s="185" t="s">
        <v>157</v>
      </c>
      <c r="K174" s="185" t="s">
        <v>158</v>
      </c>
      <c r="L174" s="185" t="s">
        <v>159</v>
      </c>
      <c r="M174" s="185" t="s">
        <v>73</v>
      </c>
      <c r="N174" s="185" t="s">
        <v>160</v>
      </c>
      <c r="O174" s="185" t="s">
        <v>94</v>
      </c>
      <c r="P174" s="309" t="s">
        <v>161</v>
      </c>
      <c r="Q174" s="309"/>
      <c r="R174" s="16"/>
    </row>
    <row r="175" spans="1:18">
      <c r="A175" s="16"/>
      <c r="B175" s="16">
        <v>17</v>
      </c>
      <c r="C175" s="184">
        <v>213</v>
      </c>
      <c r="D175" s="191" t="s">
        <v>162</v>
      </c>
      <c r="E175" s="191" t="s">
        <v>163</v>
      </c>
      <c r="F175" s="191"/>
      <c r="G175" s="185" t="s">
        <v>15</v>
      </c>
      <c r="H175" s="185" t="s">
        <v>85</v>
      </c>
      <c r="I175" s="185"/>
      <c r="J175" s="185" t="s">
        <v>164</v>
      </c>
      <c r="K175" s="185" t="s">
        <v>165</v>
      </c>
      <c r="L175" s="185" t="s">
        <v>166</v>
      </c>
      <c r="M175" s="185" t="s">
        <v>122</v>
      </c>
      <c r="N175" s="185" t="s">
        <v>167</v>
      </c>
      <c r="O175" s="185" t="s">
        <v>168</v>
      </c>
      <c r="P175" s="309" t="s">
        <v>169</v>
      </c>
      <c r="Q175" s="309"/>
      <c r="R175" s="16"/>
    </row>
    <row r="176" spans="1:18">
      <c r="A176" s="16"/>
      <c r="B176" s="16">
        <v>18</v>
      </c>
      <c r="C176" s="184">
        <v>231</v>
      </c>
      <c r="D176" s="191" t="s">
        <v>170</v>
      </c>
      <c r="E176" s="191" t="s">
        <v>171</v>
      </c>
      <c r="F176" s="191"/>
      <c r="G176" s="185" t="s">
        <v>15</v>
      </c>
      <c r="H176" s="185" t="s">
        <v>82</v>
      </c>
      <c r="I176" s="185"/>
      <c r="J176" s="185" t="s">
        <v>172</v>
      </c>
      <c r="K176" s="185" t="s">
        <v>68</v>
      </c>
      <c r="L176" s="185" t="s">
        <v>173</v>
      </c>
      <c r="M176" s="185" t="s">
        <v>174</v>
      </c>
      <c r="N176" s="185" t="s">
        <v>175</v>
      </c>
      <c r="O176" s="185" t="s">
        <v>176</v>
      </c>
      <c r="P176" s="309" t="s">
        <v>177</v>
      </c>
      <c r="Q176" s="309"/>
      <c r="R176" s="16"/>
    </row>
    <row r="177" spans="1:18">
      <c r="A177" s="16"/>
      <c r="B177" s="16">
        <v>19</v>
      </c>
      <c r="C177" s="184">
        <v>222</v>
      </c>
      <c r="D177" s="191" t="s">
        <v>178</v>
      </c>
      <c r="E177" s="191" t="s">
        <v>179</v>
      </c>
      <c r="F177" s="191"/>
      <c r="G177" s="185" t="s">
        <v>15</v>
      </c>
      <c r="H177" s="185" t="s">
        <v>180</v>
      </c>
      <c r="I177" s="185"/>
      <c r="J177" s="185" t="s">
        <v>181</v>
      </c>
      <c r="K177" s="185" t="s">
        <v>182</v>
      </c>
      <c r="L177" s="185" t="s">
        <v>183</v>
      </c>
      <c r="M177" s="185" t="s">
        <v>114</v>
      </c>
      <c r="N177" s="185" t="s">
        <v>184</v>
      </c>
      <c r="O177" s="185" t="s">
        <v>185</v>
      </c>
      <c r="P177" s="309" t="s">
        <v>186</v>
      </c>
      <c r="Q177" s="309"/>
      <c r="R177" s="16"/>
    </row>
    <row r="178" spans="1:18">
      <c r="A178" s="16"/>
      <c r="B178" s="16">
        <v>20</v>
      </c>
      <c r="C178" s="184">
        <v>224</v>
      </c>
      <c r="D178" s="191" t="s">
        <v>187</v>
      </c>
      <c r="E178" s="191" t="s">
        <v>188</v>
      </c>
      <c r="F178" s="191"/>
      <c r="G178" s="185" t="s">
        <v>15</v>
      </c>
      <c r="H178" s="185" t="s">
        <v>189</v>
      </c>
      <c r="I178" s="185"/>
      <c r="J178" s="185" t="s">
        <v>190</v>
      </c>
      <c r="K178" s="185" t="s">
        <v>191</v>
      </c>
      <c r="L178" s="185" t="s">
        <v>192</v>
      </c>
      <c r="M178" s="185" t="s">
        <v>101</v>
      </c>
      <c r="N178" s="185" t="s">
        <v>52</v>
      </c>
      <c r="O178" s="185" t="s">
        <v>193</v>
      </c>
      <c r="P178" s="309" t="s">
        <v>194</v>
      </c>
      <c r="Q178" s="309"/>
      <c r="R178" s="16"/>
    </row>
    <row r="179" spans="1:18">
      <c r="A179" s="16"/>
      <c r="B179" s="16">
        <v>21</v>
      </c>
      <c r="C179" s="184">
        <v>201</v>
      </c>
      <c r="D179" s="191" t="s">
        <v>195</v>
      </c>
      <c r="E179" s="191" t="s">
        <v>196</v>
      </c>
      <c r="F179" s="191"/>
      <c r="G179" s="185" t="s">
        <v>15</v>
      </c>
      <c r="H179" s="185" t="s">
        <v>197</v>
      </c>
      <c r="I179" s="185"/>
      <c r="J179" s="185" t="s">
        <v>198</v>
      </c>
      <c r="K179" s="185" t="s">
        <v>199</v>
      </c>
      <c r="L179" s="185" t="s">
        <v>200</v>
      </c>
      <c r="M179" s="185" t="s">
        <v>201</v>
      </c>
      <c r="N179" s="185" t="s">
        <v>202</v>
      </c>
      <c r="O179" s="185" t="s">
        <v>203</v>
      </c>
      <c r="P179" s="309" t="s">
        <v>204</v>
      </c>
      <c r="Q179" s="309"/>
      <c r="R179" s="16"/>
    </row>
    <row r="180" spans="1:18">
      <c r="A180" s="16"/>
      <c r="B180" s="16">
        <v>22</v>
      </c>
      <c r="C180" s="184">
        <v>226</v>
      </c>
      <c r="D180" s="191" t="s">
        <v>205</v>
      </c>
      <c r="E180" s="191" t="s">
        <v>206</v>
      </c>
      <c r="F180" s="191"/>
      <c r="G180" s="185" t="s">
        <v>15</v>
      </c>
      <c r="H180" s="185" t="s">
        <v>207</v>
      </c>
      <c r="I180" s="185"/>
      <c r="J180" s="185" t="s">
        <v>208</v>
      </c>
      <c r="K180" s="185" t="s">
        <v>97</v>
      </c>
      <c r="L180" s="185" t="s">
        <v>209</v>
      </c>
      <c r="M180" s="185" t="s">
        <v>118</v>
      </c>
      <c r="N180" s="185" t="s">
        <v>210</v>
      </c>
      <c r="O180" s="185" t="s">
        <v>211</v>
      </c>
      <c r="P180" s="309" t="s">
        <v>212</v>
      </c>
      <c r="Q180" s="309"/>
      <c r="R180" s="16"/>
    </row>
    <row r="181" spans="1:18">
      <c r="A181" s="16"/>
      <c r="B181" s="16">
        <v>23</v>
      </c>
      <c r="C181" s="184">
        <v>205</v>
      </c>
      <c r="D181" s="191" t="s">
        <v>213</v>
      </c>
      <c r="E181" s="191" t="s">
        <v>214</v>
      </c>
      <c r="F181" s="191"/>
      <c r="G181" s="185" t="s">
        <v>15</v>
      </c>
      <c r="H181" s="185" t="s">
        <v>215</v>
      </c>
      <c r="I181" s="185"/>
      <c r="J181" s="185" t="s">
        <v>216</v>
      </c>
      <c r="K181" s="185" t="s">
        <v>217</v>
      </c>
      <c r="L181" s="185" t="s">
        <v>151</v>
      </c>
      <c r="M181" s="185" t="s">
        <v>139</v>
      </c>
      <c r="N181" s="185" t="s">
        <v>211</v>
      </c>
      <c r="O181" s="185" t="s">
        <v>218</v>
      </c>
      <c r="P181" s="309" t="s">
        <v>219</v>
      </c>
      <c r="Q181" s="309"/>
      <c r="R181" s="16"/>
    </row>
    <row r="182" spans="1:18">
      <c r="A182" s="16"/>
      <c r="B182" s="16">
        <v>24</v>
      </c>
      <c r="C182" s="184">
        <v>217</v>
      </c>
      <c r="D182" s="191" t="s">
        <v>220</v>
      </c>
      <c r="E182" s="193"/>
      <c r="F182" s="193"/>
      <c r="G182" s="185" t="s">
        <v>15</v>
      </c>
      <c r="H182" s="185" t="s">
        <v>221</v>
      </c>
      <c r="I182" s="185"/>
      <c r="J182" s="185" t="s">
        <v>222</v>
      </c>
      <c r="K182" s="185" t="s">
        <v>203</v>
      </c>
      <c r="L182" s="185" t="s">
        <v>223</v>
      </c>
      <c r="M182" s="185" t="s">
        <v>224</v>
      </c>
      <c r="N182" s="185" t="s">
        <v>225</v>
      </c>
      <c r="O182" s="185" t="s">
        <v>226</v>
      </c>
      <c r="P182" s="309" t="s">
        <v>227</v>
      </c>
      <c r="Q182" s="309"/>
      <c r="R182" s="16"/>
    </row>
    <row r="183" spans="1:18">
      <c r="A183" s="16"/>
      <c r="B183" s="16">
        <v>25</v>
      </c>
      <c r="C183" s="184">
        <v>201</v>
      </c>
      <c r="D183" s="191" t="s">
        <v>228</v>
      </c>
      <c r="E183" s="191" t="s">
        <v>229</v>
      </c>
      <c r="F183" s="191"/>
      <c r="G183" s="185" t="s">
        <v>15</v>
      </c>
      <c r="H183" s="185" t="s">
        <v>230</v>
      </c>
      <c r="I183" s="185"/>
      <c r="J183" s="185" t="s">
        <v>231</v>
      </c>
      <c r="K183" s="185" t="s">
        <v>104</v>
      </c>
      <c r="L183" s="185" t="s">
        <v>182</v>
      </c>
      <c r="M183" s="185" t="s">
        <v>232</v>
      </c>
      <c r="N183" s="185" t="s">
        <v>233</v>
      </c>
      <c r="O183" s="185" t="s">
        <v>234</v>
      </c>
      <c r="P183" s="309" t="s">
        <v>235</v>
      </c>
      <c r="Q183" s="309"/>
      <c r="R183" s="16"/>
    </row>
    <row r="184" spans="1:18">
      <c r="A184" s="16"/>
      <c r="B184" s="16">
        <v>26</v>
      </c>
      <c r="C184" s="184">
        <v>216</v>
      </c>
      <c r="D184" s="191" t="s">
        <v>236</v>
      </c>
      <c r="E184" s="193"/>
      <c r="F184" s="193"/>
      <c r="G184" s="185" t="s">
        <v>15</v>
      </c>
      <c r="H184" s="185" t="s">
        <v>237</v>
      </c>
      <c r="I184" s="185"/>
      <c r="J184" s="185" t="s">
        <v>238</v>
      </c>
      <c r="K184" s="185" t="s">
        <v>239</v>
      </c>
      <c r="L184" s="185" t="s">
        <v>240</v>
      </c>
      <c r="M184" s="185" t="s">
        <v>185</v>
      </c>
      <c r="N184" s="185" t="s">
        <v>241</v>
      </c>
      <c r="O184" s="185" t="s">
        <v>221</v>
      </c>
      <c r="P184" s="309" t="s">
        <v>242</v>
      </c>
      <c r="Q184" s="309"/>
      <c r="R184" s="16"/>
    </row>
    <row r="185" spans="1:18">
      <c r="A185" s="16"/>
      <c r="B185" s="16">
        <v>27</v>
      </c>
      <c r="C185" s="184">
        <v>206</v>
      </c>
      <c r="D185" s="191" t="s">
        <v>243</v>
      </c>
      <c r="E185" s="191" t="s">
        <v>244</v>
      </c>
      <c r="F185" s="191"/>
      <c r="G185" s="185" t="s">
        <v>15</v>
      </c>
      <c r="H185" s="185" t="s">
        <v>230</v>
      </c>
      <c r="I185" s="185"/>
      <c r="J185" s="185" t="s">
        <v>245</v>
      </c>
      <c r="K185" s="185" t="s">
        <v>246</v>
      </c>
      <c r="L185" s="185" t="s">
        <v>216</v>
      </c>
      <c r="M185" s="185" t="s">
        <v>191</v>
      </c>
      <c r="N185" s="185" t="s">
        <v>247</v>
      </c>
      <c r="O185" s="185" t="s">
        <v>139</v>
      </c>
      <c r="P185" s="309" t="s">
        <v>248</v>
      </c>
      <c r="Q185" s="309"/>
      <c r="R185" s="16"/>
    </row>
    <row r="186" spans="1:18">
      <c r="A186" s="16"/>
      <c r="B186" s="16">
        <v>28</v>
      </c>
      <c r="C186" s="184">
        <v>220</v>
      </c>
      <c r="D186" s="191" t="s">
        <v>249</v>
      </c>
      <c r="E186" s="191" t="s">
        <v>250</v>
      </c>
      <c r="F186" s="191"/>
      <c r="G186" s="185" t="s">
        <v>15</v>
      </c>
      <c r="H186" s="185" t="s">
        <v>230</v>
      </c>
      <c r="I186" s="185"/>
      <c r="J186" s="185" t="s">
        <v>251</v>
      </c>
      <c r="K186" s="185" t="s">
        <v>252</v>
      </c>
      <c r="L186" s="185" t="s">
        <v>184</v>
      </c>
      <c r="M186" s="185" t="s">
        <v>253</v>
      </c>
      <c r="N186" s="185" t="s">
        <v>254</v>
      </c>
      <c r="O186" s="185" t="s">
        <v>255</v>
      </c>
      <c r="P186" s="309" t="s">
        <v>256</v>
      </c>
      <c r="Q186" s="309"/>
      <c r="R186" s="16"/>
    </row>
    <row r="187" spans="1:18">
      <c r="A187" s="16"/>
      <c r="B187" s="16">
        <v>29</v>
      </c>
      <c r="C187" s="184">
        <v>204</v>
      </c>
      <c r="D187" s="191" t="s">
        <v>257</v>
      </c>
      <c r="E187" s="191" t="s">
        <v>258</v>
      </c>
      <c r="F187" s="191"/>
      <c r="G187" s="185" t="s">
        <v>15</v>
      </c>
      <c r="H187" s="185" t="s">
        <v>173</v>
      </c>
      <c r="I187" s="185"/>
      <c r="J187" s="185" t="s">
        <v>259</v>
      </c>
      <c r="K187" s="185" t="s">
        <v>253</v>
      </c>
      <c r="L187" s="185" t="s">
        <v>260</v>
      </c>
      <c r="M187" s="185" t="s">
        <v>261</v>
      </c>
      <c r="N187" s="185" t="s">
        <v>150</v>
      </c>
      <c r="O187" s="185" t="s">
        <v>262</v>
      </c>
      <c r="P187" s="309" t="s">
        <v>263</v>
      </c>
      <c r="Q187" s="309"/>
      <c r="R187" s="16"/>
    </row>
    <row r="188" spans="1:18">
      <c r="A188" s="16"/>
      <c r="B188" s="16"/>
      <c r="C188" s="16"/>
      <c r="D188" s="16"/>
      <c r="E188" s="16"/>
      <c r="F188" s="16"/>
      <c r="G188" s="16"/>
      <c r="P188" s="307"/>
      <c r="Q188" s="307"/>
      <c r="R188" s="16"/>
    </row>
    <row r="189" spans="1:18" ht="23.25">
      <c r="D189" s="20" t="s">
        <v>351</v>
      </c>
      <c r="L189" s="20" t="s">
        <v>1292</v>
      </c>
    </row>
    <row r="190" spans="1:18">
      <c r="P190" s="307"/>
      <c r="Q190" s="307"/>
    </row>
    <row r="191" spans="1:18">
      <c r="B191" s="11" t="s">
        <v>0</v>
      </c>
      <c r="C191" s="12" t="s">
        <v>1</v>
      </c>
      <c r="D191" s="13" t="s">
        <v>2</v>
      </c>
      <c r="E191" s="13" t="s">
        <v>3</v>
      </c>
      <c r="F191" s="13"/>
      <c r="G191" s="12" t="s">
        <v>4</v>
      </c>
      <c r="H191" s="12" t="s">
        <v>5</v>
      </c>
      <c r="I191" s="12"/>
      <c r="J191" s="12" t="s">
        <v>6</v>
      </c>
      <c r="K191" s="12" t="s">
        <v>7</v>
      </c>
      <c r="L191" s="12" t="s">
        <v>8</v>
      </c>
      <c r="M191" s="12" t="s">
        <v>9</v>
      </c>
      <c r="N191" s="12" t="s">
        <v>10</v>
      </c>
      <c r="O191" s="12" t="s">
        <v>11</v>
      </c>
      <c r="P191" s="308" t="s">
        <v>12</v>
      </c>
      <c r="Q191" s="308"/>
      <c r="R191" s="14"/>
    </row>
    <row r="192" spans="1:18">
      <c r="B192" s="117">
        <v>1</v>
      </c>
      <c r="C192" s="117">
        <v>302</v>
      </c>
      <c r="D192" s="118" t="s">
        <v>393</v>
      </c>
      <c r="E192" s="118" t="s">
        <v>352</v>
      </c>
      <c r="F192" s="118"/>
      <c r="G192" s="117" t="s">
        <v>353</v>
      </c>
      <c r="H192" s="116">
        <v>0.38541666666666669</v>
      </c>
      <c r="I192" s="116"/>
      <c r="J192" s="116">
        <v>0.38125000000000003</v>
      </c>
      <c r="K192" s="116">
        <v>0.38750000000000001</v>
      </c>
      <c r="L192" s="116">
        <v>0.3833333333333333</v>
      </c>
      <c r="M192" s="116">
        <v>0.44375000000000003</v>
      </c>
      <c r="N192" s="116">
        <v>0.3888888888888889</v>
      </c>
      <c r="O192" s="116">
        <v>0.3840277777777778</v>
      </c>
      <c r="P192" s="305">
        <v>4.5879629629629631E-2</v>
      </c>
      <c r="Q192" s="305"/>
    </row>
    <row r="193" spans="2:18">
      <c r="B193" s="117">
        <v>2</v>
      </c>
      <c r="C193" s="117">
        <v>303</v>
      </c>
      <c r="D193" s="118" t="s">
        <v>437</v>
      </c>
      <c r="E193" s="118" t="s">
        <v>354</v>
      </c>
      <c r="F193" s="118"/>
      <c r="G193" s="117" t="s">
        <v>353</v>
      </c>
      <c r="H193" s="116">
        <v>0.39097222222222222</v>
      </c>
      <c r="I193" s="116"/>
      <c r="J193" s="116">
        <v>0.43263888888888885</v>
      </c>
      <c r="K193" s="116">
        <v>0.43472222222222223</v>
      </c>
      <c r="L193" s="116">
        <v>0.42777777777777781</v>
      </c>
      <c r="M193" s="116">
        <v>0.39305555555555555</v>
      </c>
      <c r="N193" s="116">
        <v>0.375</v>
      </c>
      <c r="O193" s="116">
        <v>0.39166666666666666</v>
      </c>
      <c r="P193" s="305">
        <v>4.7384259259259258E-2</v>
      </c>
      <c r="Q193" s="305"/>
    </row>
    <row r="194" spans="2:18">
      <c r="B194" s="117">
        <v>3</v>
      </c>
      <c r="C194" s="117">
        <v>332</v>
      </c>
      <c r="D194" s="118" t="s">
        <v>436</v>
      </c>
      <c r="E194" s="118" t="s">
        <v>355</v>
      </c>
      <c r="F194" s="118"/>
      <c r="G194" s="117" t="s">
        <v>353</v>
      </c>
      <c r="H194" s="116">
        <v>0.43541666666666662</v>
      </c>
      <c r="I194" s="116"/>
      <c r="J194" s="116">
        <v>0.42430555555555555</v>
      </c>
      <c r="K194" s="116">
        <v>0.43055555555555558</v>
      </c>
      <c r="L194" s="116">
        <v>0.4381944444444445</v>
      </c>
      <c r="M194" s="116">
        <v>0.44166666666666665</v>
      </c>
      <c r="N194" s="116">
        <v>0.44305555555555554</v>
      </c>
      <c r="O194" s="116">
        <v>0.44513888888888892</v>
      </c>
      <c r="P194" s="305">
        <v>5.0937499999999997E-2</v>
      </c>
      <c r="Q194" s="305"/>
    </row>
    <row r="195" spans="2:18">
      <c r="B195" s="122">
        <v>4</v>
      </c>
      <c r="C195" s="122">
        <v>301</v>
      </c>
      <c r="D195" s="123" t="s">
        <v>444</v>
      </c>
      <c r="E195" s="123" t="s">
        <v>356</v>
      </c>
      <c r="F195" s="123"/>
      <c r="G195" s="122" t="s">
        <v>353</v>
      </c>
      <c r="H195" s="124">
        <v>0.43055555555555558</v>
      </c>
      <c r="I195" s="124"/>
      <c r="J195" s="124">
        <v>0.42986111111111108</v>
      </c>
      <c r="K195" s="124">
        <v>0.42777777777777781</v>
      </c>
      <c r="L195" s="124">
        <v>0.46249999999999997</v>
      </c>
      <c r="M195" s="124">
        <v>0.47083333333333338</v>
      </c>
      <c r="N195" s="125">
        <v>0.49027777777777781</v>
      </c>
      <c r="O195" s="124">
        <v>0.62638888888888888</v>
      </c>
      <c r="P195" s="305">
        <v>5.5601851851851847E-2</v>
      </c>
      <c r="Q195" s="305"/>
      <c r="R195" s="126"/>
    </row>
    <row r="196" spans="2:18">
      <c r="B196" s="117">
        <v>5</v>
      </c>
      <c r="C196" s="117">
        <v>339</v>
      </c>
      <c r="D196" s="118" t="s">
        <v>435</v>
      </c>
      <c r="E196" s="118" t="s">
        <v>357</v>
      </c>
      <c r="F196" s="118"/>
      <c r="G196" s="117" t="s">
        <v>353</v>
      </c>
      <c r="H196" s="116">
        <v>0.51180555555555551</v>
      </c>
      <c r="I196" s="116"/>
      <c r="J196" s="116">
        <v>0.54027777777777775</v>
      </c>
      <c r="K196" s="116">
        <v>0.5</v>
      </c>
      <c r="L196" s="116">
        <v>0.50624999999999998</v>
      </c>
      <c r="M196" s="116">
        <v>0.51180555555555551</v>
      </c>
      <c r="N196" s="116">
        <v>0.5229166666666667</v>
      </c>
      <c r="O196" s="116">
        <v>0.49722222222222223</v>
      </c>
      <c r="P196" s="305">
        <v>5.9814814814814814E-2</v>
      </c>
      <c r="Q196" s="305"/>
    </row>
    <row r="197" spans="2:18">
      <c r="B197" s="117">
        <v>6</v>
      </c>
      <c r="C197" s="117">
        <v>304</v>
      </c>
      <c r="D197" s="118" t="s">
        <v>434</v>
      </c>
      <c r="E197" s="118" t="s">
        <v>358</v>
      </c>
      <c r="F197" s="118"/>
      <c r="G197" s="117" t="s">
        <v>353</v>
      </c>
      <c r="H197" s="116">
        <v>0.48541666666666666</v>
      </c>
      <c r="I197" s="116"/>
      <c r="J197" s="116">
        <v>0.49583333333333335</v>
      </c>
      <c r="K197" s="116">
        <v>0.4993055555555555</v>
      </c>
      <c r="L197" s="116">
        <v>0.56736111111111109</v>
      </c>
      <c r="M197" s="116">
        <v>0.51250000000000007</v>
      </c>
      <c r="N197" s="116">
        <v>0.54166666666666663</v>
      </c>
      <c r="O197" s="116">
        <v>0.52500000000000002</v>
      </c>
      <c r="P197" s="305">
        <v>6.0416666666666667E-2</v>
      </c>
      <c r="Q197" s="305"/>
    </row>
    <row r="198" spans="2:18">
      <c r="B198" s="117">
        <v>7</v>
      </c>
      <c r="C198" s="117">
        <v>305</v>
      </c>
      <c r="D198" s="118" t="s">
        <v>395</v>
      </c>
      <c r="E198" s="118" t="s">
        <v>359</v>
      </c>
      <c r="F198" s="118"/>
      <c r="G198" s="117" t="s">
        <v>353</v>
      </c>
      <c r="H198" s="116">
        <v>0.44791666666666669</v>
      </c>
      <c r="I198" s="116"/>
      <c r="J198" s="116">
        <v>0.4777777777777778</v>
      </c>
      <c r="K198" s="116">
        <v>0.48472222222222222</v>
      </c>
      <c r="L198" s="116">
        <v>0.71180555555555547</v>
      </c>
      <c r="M198" s="116">
        <v>0.4861111111111111</v>
      </c>
      <c r="N198" s="116">
        <v>0.48541666666666666</v>
      </c>
      <c r="O198" s="116">
        <v>0.60972222222222217</v>
      </c>
      <c r="P198" s="305">
        <v>6.1678240740740742E-2</v>
      </c>
      <c r="Q198" s="305"/>
    </row>
    <row r="199" spans="2:18">
      <c r="B199" s="117">
        <v>8</v>
      </c>
      <c r="C199" s="117">
        <v>309</v>
      </c>
      <c r="D199" s="118" t="s">
        <v>394</v>
      </c>
      <c r="E199" s="118" t="s">
        <v>360</v>
      </c>
      <c r="F199" s="118"/>
      <c r="G199" s="117" t="s">
        <v>353</v>
      </c>
      <c r="H199" s="116">
        <v>0.4465277777777778</v>
      </c>
      <c r="I199" s="116"/>
      <c r="J199" s="116">
        <v>0.59652777777777777</v>
      </c>
      <c r="K199" s="116">
        <v>0.6</v>
      </c>
      <c r="L199" s="116">
        <v>0.49583333333333335</v>
      </c>
      <c r="M199" s="116">
        <v>0.53055555555555556</v>
      </c>
      <c r="N199" s="116">
        <v>0.55555555555555558</v>
      </c>
      <c r="O199" s="116">
        <v>0.49374999999999997</v>
      </c>
      <c r="P199" s="305">
        <v>6.1956018518518514E-2</v>
      </c>
      <c r="Q199" s="305"/>
    </row>
    <row r="200" spans="2:18">
      <c r="B200" s="117">
        <v>9</v>
      </c>
      <c r="C200" s="117">
        <v>319</v>
      </c>
      <c r="D200" s="118" t="s">
        <v>433</v>
      </c>
      <c r="E200" s="118" t="s">
        <v>361</v>
      </c>
      <c r="F200" s="118"/>
      <c r="G200" s="117" t="s">
        <v>353</v>
      </c>
      <c r="H200" s="116">
        <v>0.52500000000000002</v>
      </c>
      <c r="I200" s="116"/>
      <c r="J200" s="116">
        <v>0.53541666666666665</v>
      </c>
      <c r="K200" s="116">
        <v>0.50694444444444442</v>
      </c>
      <c r="L200" s="116">
        <v>0.54722222222222217</v>
      </c>
      <c r="M200" s="116">
        <v>0.52569444444444446</v>
      </c>
      <c r="N200" s="116">
        <v>0.57986111111111105</v>
      </c>
      <c r="O200" s="116">
        <v>0.52430555555555558</v>
      </c>
      <c r="P200" s="305">
        <v>6.2384259259259257E-2</v>
      </c>
      <c r="Q200" s="305"/>
    </row>
    <row r="201" spans="2:18">
      <c r="B201" s="117">
        <v>10</v>
      </c>
      <c r="C201" s="117">
        <v>354</v>
      </c>
      <c r="D201" s="118" t="s">
        <v>432</v>
      </c>
      <c r="E201" s="118"/>
      <c r="F201" s="118"/>
      <c r="G201" s="117" t="s">
        <v>353</v>
      </c>
      <c r="H201" s="116">
        <v>0.55208333333333337</v>
      </c>
      <c r="I201" s="116"/>
      <c r="J201" s="116">
        <v>0.57222222222222219</v>
      </c>
      <c r="K201" s="116">
        <v>0.56736111111111109</v>
      </c>
      <c r="L201" s="116">
        <v>0.59791666666666665</v>
      </c>
      <c r="M201" s="116">
        <v>0.48125000000000001</v>
      </c>
      <c r="N201" s="116">
        <v>0.50138888888888888</v>
      </c>
      <c r="O201" s="116">
        <v>0.47847222222222219</v>
      </c>
      <c r="P201" s="305">
        <v>6.2476851851851846E-2</v>
      </c>
      <c r="Q201" s="305"/>
    </row>
    <row r="202" spans="2:18">
      <c r="B202" s="117">
        <v>11</v>
      </c>
      <c r="C202" s="117">
        <v>334</v>
      </c>
      <c r="D202" s="118" t="s">
        <v>431</v>
      </c>
      <c r="E202" s="118" t="s">
        <v>362</v>
      </c>
      <c r="F202" s="118"/>
      <c r="G202" s="117" t="s">
        <v>353</v>
      </c>
      <c r="H202" s="116">
        <v>0.51527777777777783</v>
      </c>
      <c r="I202" s="116"/>
      <c r="J202" s="116">
        <v>0.50416666666666665</v>
      </c>
      <c r="K202" s="116">
        <v>0.58611111111111114</v>
      </c>
      <c r="L202" s="116">
        <v>0.53472222222222221</v>
      </c>
      <c r="M202" s="116">
        <v>0.55069444444444449</v>
      </c>
      <c r="N202" s="116">
        <v>0.57013888888888886</v>
      </c>
      <c r="O202" s="116">
        <v>0.49374999999999997</v>
      </c>
      <c r="P202" s="305">
        <v>6.2546296296296294E-2</v>
      </c>
      <c r="Q202" s="305"/>
    </row>
    <row r="203" spans="2:18">
      <c r="B203" s="117">
        <v>12</v>
      </c>
      <c r="C203" s="117">
        <v>320</v>
      </c>
      <c r="D203" s="118" t="s">
        <v>430</v>
      </c>
      <c r="E203" s="118" t="s">
        <v>361</v>
      </c>
      <c r="F203" s="118"/>
      <c r="G203" s="117" t="s">
        <v>353</v>
      </c>
      <c r="H203" s="116">
        <v>0.59444444444444444</v>
      </c>
      <c r="I203" s="116"/>
      <c r="J203" s="116">
        <v>0.46527777777777773</v>
      </c>
      <c r="K203" s="116">
        <v>0.5083333333333333</v>
      </c>
      <c r="L203" s="116">
        <v>0.52708333333333335</v>
      </c>
      <c r="M203" s="116">
        <v>0.55763888888888891</v>
      </c>
      <c r="N203" s="116">
        <v>0.56805555555555554</v>
      </c>
      <c r="O203" s="116">
        <v>0.54583333333333328</v>
      </c>
      <c r="P203" s="305">
        <v>6.2743055555555552E-2</v>
      </c>
      <c r="Q203" s="305"/>
    </row>
    <row r="204" spans="2:18">
      <c r="B204" s="117">
        <v>13</v>
      </c>
      <c r="C204" s="117">
        <v>355</v>
      </c>
      <c r="D204" s="118" t="s">
        <v>396</v>
      </c>
      <c r="E204" s="118" t="s">
        <v>363</v>
      </c>
      <c r="F204" s="118"/>
      <c r="G204" s="117" t="s">
        <v>353</v>
      </c>
      <c r="H204" s="116">
        <v>0.47986111111111113</v>
      </c>
      <c r="I204" s="116"/>
      <c r="J204" s="116">
        <v>0.49513888888888885</v>
      </c>
      <c r="K204" s="116">
        <v>0.5395833333333333</v>
      </c>
      <c r="L204" s="116">
        <v>0.56319444444444444</v>
      </c>
      <c r="M204" s="116">
        <v>0.55902777777777779</v>
      </c>
      <c r="N204" s="116">
        <v>0.48749999999999999</v>
      </c>
      <c r="O204" s="116">
        <v>0.65694444444444444</v>
      </c>
      <c r="P204" s="305">
        <v>6.3009259259259265E-2</v>
      </c>
      <c r="Q204" s="305"/>
    </row>
    <row r="205" spans="2:18">
      <c r="B205" s="117">
        <v>14</v>
      </c>
      <c r="C205" s="117">
        <v>329</v>
      </c>
      <c r="D205" s="118" t="s">
        <v>429</v>
      </c>
      <c r="E205" s="119" t="s">
        <v>364</v>
      </c>
      <c r="F205" s="119"/>
      <c r="G205" s="117" t="s">
        <v>353</v>
      </c>
      <c r="H205" s="116">
        <v>0.54305555555555551</v>
      </c>
      <c r="I205" s="116"/>
      <c r="J205" s="116">
        <v>0.57708333333333328</v>
      </c>
      <c r="K205" s="116">
        <v>0.52361111111111114</v>
      </c>
      <c r="L205" s="116">
        <v>0.59722222222222221</v>
      </c>
      <c r="M205" s="116">
        <v>0.50555555555555554</v>
      </c>
      <c r="N205" s="116">
        <v>0.52222222222222225</v>
      </c>
      <c r="O205" s="116">
        <v>0.51944444444444449</v>
      </c>
      <c r="P205" s="305">
        <v>6.3090277777777773E-2</v>
      </c>
      <c r="Q205" s="305"/>
    </row>
    <row r="206" spans="2:18">
      <c r="B206" s="117">
        <v>15</v>
      </c>
      <c r="C206" s="117">
        <v>316</v>
      </c>
      <c r="D206" s="118" t="s">
        <v>428</v>
      </c>
      <c r="E206" s="119" t="s">
        <v>365</v>
      </c>
      <c r="F206" s="119"/>
      <c r="G206" s="117" t="s">
        <v>353</v>
      </c>
      <c r="H206" s="116">
        <v>0.45</v>
      </c>
      <c r="I206" s="116"/>
      <c r="J206" s="116">
        <v>0.52222222222222225</v>
      </c>
      <c r="K206" s="116">
        <v>0.51736111111111105</v>
      </c>
      <c r="L206" s="116">
        <v>0.59305555555555556</v>
      </c>
      <c r="M206" s="116">
        <v>0.6020833333333333</v>
      </c>
      <c r="N206" s="116">
        <v>0.59375</v>
      </c>
      <c r="O206" s="116">
        <v>0.57986111111111105</v>
      </c>
      <c r="P206" s="305">
        <v>6.4282407407407413E-2</v>
      </c>
      <c r="Q206" s="305"/>
    </row>
    <row r="207" spans="2:18">
      <c r="B207" s="117">
        <v>16</v>
      </c>
      <c r="C207" s="117">
        <v>352</v>
      </c>
      <c r="D207" s="118" t="s">
        <v>397</v>
      </c>
      <c r="E207" s="118" t="s">
        <v>366</v>
      </c>
      <c r="F207" s="118"/>
      <c r="G207" s="117" t="s">
        <v>353</v>
      </c>
      <c r="H207" s="116">
        <v>0.52500000000000002</v>
      </c>
      <c r="I207" s="116"/>
      <c r="J207" s="116">
        <v>0.53194444444444444</v>
      </c>
      <c r="K207" s="116">
        <v>0.55902777777777779</v>
      </c>
      <c r="L207" s="116">
        <v>0.51111111111111118</v>
      </c>
      <c r="M207" s="116">
        <v>0.60416666666666663</v>
      </c>
      <c r="N207" s="116">
        <v>0.51944444444444449</v>
      </c>
      <c r="O207" s="116">
        <v>0.61597222222222225</v>
      </c>
      <c r="P207" s="305">
        <v>6.4421296296296296E-2</v>
      </c>
      <c r="Q207" s="305"/>
    </row>
    <row r="208" spans="2:18">
      <c r="B208" s="117">
        <v>17</v>
      </c>
      <c r="C208" s="117">
        <v>342</v>
      </c>
      <c r="D208" s="118" t="s">
        <v>438</v>
      </c>
      <c r="E208" s="118"/>
      <c r="F208" s="118"/>
      <c r="G208" s="117" t="s">
        <v>353</v>
      </c>
      <c r="H208" s="116">
        <v>0.43055555555555558</v>
      </c>
      <c r="I208" s="116"/>
      <c r="J208" s="116">
        <v>0.43958333333333338</v>
      </c>
      <c r="K208" s="116">
        <v>0.66388888888888886</v>
      </c>
      <c r="L208" s="116">
        <v>0.65972222222222221</v>
      </c>
      <c r="M208" s="116">
        <v>0.5493055555555556</v>
      </c>
      <c r="N208" s="116">
        <v>0.62152777777777779</v>
      </c>
      <c r="O208" s="116">
        <v>0.54791666666666672</v>
      </c>
      <c r="P208" s="305">
        <v>6.5185185185185179E-2</v>
      </c>
      <c r="Q208" s="305"/>
    </row>
    <row r="209" spans="2:18">
      <c r="B209" s="136">
        <v>18</v>
      </c>
      <c r="C209" s="136">
        <v>308</v>
      </c>
      <c r="D209" s="137" t="s">
        <v>480</v>
      </c>
      <c r="E209" s="137" t="s">
        <v>127</v>
      </c>
      <c r="F209" s="137"/>
      <c r="G209" s="136" t="s">
        <v>353</v>
      </c>
      <c r="H209" s="138">
        <v>0.49305555555555558</v>
      </c>
      <c r="I209" s="138"/>
      <c r="J209" s="138">
        <v>0.55902777777777779</v>
      </c>
      <c r="K209" s="138">
        <v>0.60069444444444442</v>
      </c>
      <c r="L209" s="138">
        <v>0.58402777777777781</v>
      </c>
      <c r="M209" s="138">
        <v>0.52986111111111112</v>
      </c>
      <c r="N209" s="138">
        <v>0.54722222222222217</v>
      </c>
      <c r="O209" s="138">
        <v>0.61597222222222225</v>
      </c>
      <c r="P209" s="305">
        <v>6.5462962962962959E-2</v>
      </c>
      <c r="Q209" s="305"/>
      <c r="R209" s="10"/>
    </row>
    <row r="210" spans="2:18">
      <c r="B210" s="117">
        <v>19</v>
      </c>
      <c r="C210" s="117">
        <v>346</v>
      </c>
      <c r="D210" s="118" t="s">
        <v>427</v>
      </c>
      <c r="E210" s="118"/>
      <c r="F210" s="118"/>
      <c r="G210" s="117" t="s">
        <v>353</v>
      </c>
      <c r="H210" s="116">
        <v>0.54513888888888895</v>
      </c>
      <c r="I210" s="116"/>
      <c r="J210" s="116">
        <v>0.56527777777777777</v>
      </c>
      <c r="K210" s="116">
        <v>0.54583333333333328</v>
      </c>
      <c r="L210" s="116">
        <v>0.58263888888888882</v>
      </c>
      <c r="M210" s="116">
        <v>0.58124999999999993</v>
      </c>
      <c r="N210" s="116">
        <v>0.58819444444444446</v>
      </c>
      <c r="O210" s="116">
        <v>0.55902777777777779</v>
      </c>
      <c r="P210" s="305">
        <v>6.609953703703704E-2</v>
      </c>
      <c r="Q210" s="305"/>
    </row>
    <row r="211" spans="2:18">
      <c r="B211" s="117">
        <v>20</v>
      </c>
      <c r="C211" s="117">
        <v>327</v>
      </c>
      <c r="D211" s="118" t="s">
        <v>426</v>
      </c>
      <c r="E211" s="118" t="s">
        <v>367</v>
      </c>
      <c r="F211" s="118"/>
      <c r="G211" s="117" t="s">
        <v>353</v>
      </c>
      <c r="H211" s="116">
        <v>0.48680555555555555</v>
      </c>
      <c r="I211" s="116"/>
      <c r="J211" s="116">
        <v>0.58333333333333337</v>
      </c>
      <c r="K211" s="116">
        <v>0.60902777777777783</v>
      </c>
      <c r="L211" s="116">
        <v>0.54583333333333328</v>
      </c>
      <c r="M211" s="116">
        <v>0.66736111111111107</v>
      </c>
      <c r="N211" s="116">
        <v>0.59722222222222221</v>
      </c>
      <c r="O211" s="116">
        <v>0.52361111111111114</v>
      </c>
      <c r="P211" s="305">
        <v>6.6840277777777776E-2</v>
      </c>
      <c r="Q211" s="305"/>
    </row>
    <row r="212" spans="2:18">
      <c r="B212" s="117">
        <v>21</v>
      </c>
      <c r="C212" s="117">
        <v>335</v>
      </c>
      <c r="D212" s="118" t="s">
        <v>398</v>
      </c>
      <c r="E212" s="118" t="s">
        <v>368</v>
      </c>
      <c r="F212" s="118"/>
      <c r="G212" s="117" t="s">
        <v>353</v>
      </c>
      <c r="H212" s="116">
        <v>0.55763888888888891</v>
      </c>
      <c r="I212" s="116"/>
      <c r="J212" s="116">
        <v>0.56805555555555554</v>
      </c>
      <c r="K212" s="116">
        <v>0.53888888888888886</v>
      </c>
      <c r="L212" s="116">
        <v>0.57152777777777775</v>
      </c>
      <c r="M212" s="116">
        <v>0.6020833333333333</v>
      </c>
      <c r="N212" s="116">
        <v>0.62777777777777777</v>
      </c>
      <c r="O212" s="116">
        <v>0.61458333333333337</v>
      </c>
      <c r="P212" s="305">
        <v>6.7962962962962961E-2</v>
      </c>
      <c r="Q212" s="305"/>
    </row>
    <row r="213" spans="2:18">
      <c r="B213" s="117">
        <v>22</v>
      </c>
      <c r="C213" s="117">
        <v>331</v>
      </c>
      <c r="D213" s="118" t="s">
        <v>425</v>
      </c>
      <c r="E213" s="118" t="s">
        <v>369</v>
      </c>
      <c r="F213" s="118"/>
      <c r="G213" s="117" t="s">
        <v>353</v>
      </c>
      <c r="H213" s="116">
        <v>0.57777777777777783</v>
      </c>
      <c r="I213" s="116"/>
      <c r="J213" s="116">
        <v>0.53680555555555554</v>
      </c>
      <c r="K213" s="116">
        <v>0.62083333333333335</v>
      </c>
      <c r="L213" s="116">
        <v>0.60277777777777775</v>
      </c>
      <c r="M213" s="116">
        <v>0.56458333333333333</v>
      </c>
      <c r="N213" s="116">
        <v>0.61597222222222225</v>
      </c>
      <c r="O213" s="116">
        <v>0.57291666666666663</v>
      </c>
      <c r="P213" s="305">
        <v>6.8159722222222219E-2</v>
      </c>
      <c r="Q213" s="305"/>
    </row>
    <row r="214" spans="2:18">
      <c r="B214" s="117">
        <v>23</v>
      </c>
      <c r="C214" s="117">
        <v>345</v>
      </c>
      <c r="D214" s="118" t="s">
        <v>399</v>
      </c>
      <c r="E214" s="118" t="s">
        <v>370</v>
      </c>
      <c r="F214" s="118"/>
      <c r="G214" s="117" t="s">
        <v>353</v>
      </c>
      <c r="H214" s="116">
        <v>0.59930555555555554</v>
      </c>
      <c r="I214" s="116"/>
      <c r="J214" s="116">
        <v>0.5625</v>
      </c>
      <c r="K214" s="116">
        <v>0.54375000000000007</v>
      </c>
      <c r="L214" s="116">
        <v>0.71250000000000002</v>
      </c>
      <c r="M214" s="116">
        <v>0.58402777777777781</v>
      </c>
      <c r="N214" s="116">
        <v>0.56458333333333333</v>
      </c>
      <c r="O214" s="116">
        <v>0.59027777777777779</v>
      </c>
      <c r="P214" s="305">
        <v>6.9236111111111109E-2</v>
      </c>
      <c r="Q214" s="305"/>
    </row>
    <row r="215" spans="2:18">
      <c r="B215" s="117">
        <v>24</v>
      </c>
      <c r="C215" s="117">
        <v>314</v>
      </c>
      <c r="D215" s="118" t="s">
        <v>400</v>
      </c>
      <c r="E215" s="118" t="s">
        <v>229</v>
      </c>
      <c r="F215" s="118"/>
      <c r="G215" s="117" t="s">
        <v>353</v>
      </c>
      <c r="H215" s="116">
        <v>0.65208333333333335</v>
      </c>
      <c r="I215" s="116"/>
      <c r="J215" s="116">
        <v>0.52013888888888882</v>
      </c>
      <c r="K215" s="116">
        <v>0.72222222222222221</v>
      </c>
      <c r="L215" s="116">
        <v>0.55625000000000002</v>
      </c>
      <c r="M215" s="116">
        <v>0.55625000000000002</v>
      </c>
      <c r="N215" s="116">
        <v>0.63958333333333328</v>
      </c>
      <c r="O215" s="116">
        <v>0.5625</v>
      </c>
      <c r="P215" s="305">
        <v>7.0115740740740742E-2</v>
      </c>
      <c r="Q215" s="305"/>
    </row>
    <row r="216" spans="2:18">
      <c r="B216" s="117">
        <v>25</v>
      </c>
      <c r="C216" s="117">
        <v>312</v>
      </c>
      <c r="D216" s="118" t="s">
        <v>405</v>
      </c>
      <c r="E216" s="118" t="s">
        <v>371</v>
      </c>
      <c r="F216" s="118"/>
      <c r="G216" s="117" t="s">
        <v>353</v>
      </c>
      <c r="H216" s="116">
        <v>0.65694444444444444</v>
      </c>
      <c r="I216" s="116"/>
      <c r="J216" s="116">
        <v>0.69513888888888886</v>
      </c>
      <c r="K216" s="116">
        <v>0.72083333333333333</v>
      </c>
      <c r="L216" s="116">
        <v>0.70416666666666661</v>
      </c>
      <c r="M216" s="116">
        <v>0.60833333333333328</v>
      </c>
      <c r="N216" s="116">
        <v>0.64236111111111105</v>
      </c>
      <c r="O216" s="116">
        <v>0.18263888888888891</v>
      </c>
      <c r="P216" s="305">
        <v>7.0162037037037037E-2</v>
      </c>
      <c r="Q216" s="305"/>
    </row>
    <row r="217" spans="2:18">
      <c r="B217" s="117">
        <v>26</v>
      </c>
      <c r="C217" s="117">
        <v>341</v>
      </c>
      <c r="D217" s="118" t="s">
        <v>424</v>
      </c>
      <c r="E217" s="118" t="s">
        <v>372</v>
      </c>
      <c r="F217" s="118"/>
      <c r="G217" s="117" t="s">
        <v>353</v>
      </c>
      <c r="H217" s="116">
        <v>0.55486111111111114</v>
      </c>
      <c r="I217" s="116"/>
      <c r="J217" s="116">
        <v>0.58611111111111114</v>
      </c>
      <c r="K217" s="116">
        <v>0.57638888888888895</v>
      </c>
      <c r="L217" s="116">
        <v>0.65694444444444444</v>
      </c>
      <c r="M217" s="116">
        <v>0.66597222222222219</v>
      </c>
      <c r="N217" s="116">
        <v>0.65694444444444444</v>
      </c>
      <c r="O217" s="116">
        <v>0.56944444444444442</v>
      </c>
      <c r="P217" s="305">
        <v>7.1087962962962964E-2</v>
      </c>
      <c r="Q217" s="305"/>
    </row>
    <row r="218" spans="2:18">
      <c r="B218" s="117">
        <v>27</v>
      </c>
      <c r="C218" s="117">
        <v>328</v>
      </c>
      <c r="D218" s="118" t="s">
        <v>423</v>
      </c>
      <c r="E218" s="118" t="s">
        <v>373</v>
      </c>
      <c r="F218" s="118"/>
      <c r="G218" s="117" t="s">
        <v>353</v>
      </c>
      <c r="H218" s="116">
        <v>0.66388888888888886</v>
      </c>
      <c r="I218" s="116"/>
      <c r="J218" s="116">
        <v>0.5444444444444444</v>
      </c>
      <c r="K218" s="116">
        <v>0.6777777777777777</v>
      </c>
      <c r="L218" s="116">
        <v>0.54652777777777783</v>
      </c>
      <c r="M218" s="116">
        <v>0.58263888888888882</v>
      </c>
      <c r="N218" s="116">
        <v>0.63402777777777775</v>
      </c>
      <c r="O218" s="116">
        <v>0.62986111111111109</v>
      </c>
      <c r="P218" s="305">
        <v>7.1273148148148155E-2</v>
      </c>
      <c r="Q218" s="305"/>
    </row>
    <row r="219" spans="2:18">
      <c r="B219" s="117">
        <v>28</v>
      </c>
      <c r="C219" s="117">
        <v>317</v>
      </c>
      <c r="D219" s="118" t="s">
        <v>422</v>
      </c>
      <c r="E219" s="118" t="s">
        <v>374</v>
      </c>
      <c r="F219" s="118"/>
      <c r="G219" s="117" t="s">
        <v>353</v>
      </c>
      <c r="H219" s="116">
        <v>0.59027777777777779</v>
      </c>
      <c r="I219" s="116"/>
      <c r="J219" s="116">
        <v>0.62708333333333333</v>
      </c>
      <c r="K219" s="116">
        <v>0.58680555555555558</v>
      </c>
      <c r="L219" s="116">
        <v>0.54652777777777783</v>
      </c>
      <c r="M219" s="116">
        <v>0.77916666666666667</v>
      </c>
      <c r="N219" s="116">
        <v>0.62152777777777779</v>
      </c>
      <c r="O219" s="116">
        <v>0.53055555555555556</v>
      </c>
      <c r="P219" s="305">
        <v>7.1319444444444449E-2</v>
      </c>
      <c r="Q219" s="305"/>
    </row>
    <row r="220" spans="2:18">
      <c r="B220" s="117">
        <v>29</v>
      </c>
      <c r="C220" s="117">
        <v>338</v>
      </c>
      <c r="D220" s="118" t="s">
        <v>421</v>
      </c>
      <c r="E220" s="118" t="s">
        <v>357</v>
      </c>
      <c r="F220" s="118"/>
      <c r="G220" s="117" t="s">
        <v>353</v>
      </c>
      <c r="H220" s="116">
        <v>0.45416666666666666</v>
      </c>
      <c r="I220" s="116"/>
      <c r="J220" s="116">
        <v>0.70347222222222217</v>
      </c>
      <c r="K220" s="116">
        <v>0.71527777777777779</v>
      </c>
      <c r="L220" s="116">
        <v>0.47916666666666669</v>
      </c>
      <c r="M220" s="116">
        <v>0.74097222222222225</v>
      </c>
      <c r="N220" s="116">
        <v>0.72569444444444453</v>
      </c>
      <c r="O220" s="116">
        <v>0.47916666666666669</v>
      </c>
      <c r="P220" s="305">
        <v>7.1608796296296295E-2</v>
      </c>
      <c r="Q220" s="305"/>
    </row>
    <row r="221" spans="2:18">
      <c r="B221" s="117">
        <v>30</v>
      </c>
      <c r="C221" s="117">
        <v>321</v>
      </c>
      <c r="D221" s="118" t="s">
        <v>420</v>
      </c>
      <c r="E221" s="118" t="s">
        <v>375</v>
      </c>
      <c r="F221" s="118"/>
      <c r="G221" s="117" t="s">
        <v>353</v>
      </c>
      <c r="H221" s="116">
        <v>0.61875000000000002</v>
      </c>
      <c r="I221" s="116"/>
      <c r="J221" s="116">
        <v>0.66736111111111107</v>
      </c>
      <c r="K221" s="116">
        <v>0.62986111111111109</v>
      </c>
      <c r="L221" s="116">
        <v>0.63472222222222219</v>
      </c>
      <c r="M221" s="116">
        <v>0.61458333333333337</v>
      </c>
      <c r="N221" s="116">
        <v>0.54999999999999993</v>
      </c>
      <c r="O221" s="116">
        <v>0.59375</v>
      </c>
      <c r="P221" s="305">
        <v>7.1793981481481486E-2</v>
      </c>
      <c r="Q221" s="305"/>
    </row>
    <row r="222" spans="2:18">
      <c r="B222" s="117">
        <v>31</v>
      </c>
      <c r="C222" s="117">
        <v>337</v>
      </c>
      <c r="D222" s="118" t="s">
        <v>419</v>
      </c>
      <c r="E222" s="118" t="s">
        <v>376</v>
      </c>
      <c r="F222" s="118"/>
      <c r="G222" s="117" t="s">
        <v>353</v>
      </c>
      <c r="H222" s="116">
        <v>0.54583333333333328</v>
      </c>
      <c r="I222" s="116"/>
      <c r="J222" s="116">
        <v>0.65</v>
      </c>
      <c r="K222" s="116">
        <v>0.61736111111111114</v>
      </c>
      <c r="L222" s="116">
        <v>0.72013888888888899</v>
      </c>
      <c r="M222" s="116">
        <v>0.58680555555555558</v>
      </c>
      <c r="N222" s="116">
        <v>0.61249999999999993</v>
      </c>
      <c r="O222" s="116">
        <v>0.60972222222222217</v>
      </c>
      <c r="P222" s="305">
        <v>7.2326388888888885E-2</v>
      </c>
      <c r="Q222" s="305"/>
    </row>
    <row r="223" spans="2:18">
      <c r="B223" s="117">
        <v>32</v>
      </c>
      <c r="C223" s="117">
        <v>324</v>
      </c>
      <c r="D223" s="118" t="s">
        <v>401</v>
      </c>
      <c r="E223" s="118" t="s">
        <v>377</v>
      </c>
      <c r="F223" s="118"/>
      <c r="G223" s="117" t="s">
        <v>353</v>
      </c>
      <c r="H223" s="116">
        <v>0.73958333333333337</v>
      </c>
      <c r="I223" s="116"/>
      <c r="J223" s="116">
        <v>0.56458333333333333</v>
      </c>
      <c r="K223" s="116">
        <v>0.61527777777777781</v>
      </c>
      <c r="L223" s="116">
        <v>0.62847222222222221</v>
      </c>
      <c r="M223" s="116">
        <v>0.66180555555555554</v>
      </c>
      <c r="N223" s="116">
        <v>0.56458333333333333</v>
      </c>
      <c r="O223" s="116">
        <v>0.5805555555555556</v>
      </c>
      <c r="P223" s="305">
        <v>7.255787037037037E-2</v>
      </c>
      <c r="Q223" s="305"/>
    </row>
    <row r="224" spans="2:18">
      <c r="B224" s="117">
        <v>33</v>
      </c>
      <c r="C224" s="117">
        <v>333</v>
      </c>
      <c r="D224" s="118" t="s">
        <v>442</v>
      </c>
      <c r="E224" s="118"/>
      <c r="F224" s="118"/>
      <c r="G224" s="117" t="s">
        <v>353</v>
      </c>
      <c r="H224" s="116">
        <v>0.55763888888888891</v>
      </c>
      <c r="I224" s="116"/>
      <c r="J224" s="116">
        <v>0.62847222222222221</v>
      </c>
      <c r="K224" s="116">
        <v>0.64513888888888882</v>
      </c>
      <c r="L224" s="116">
        <v>0.63263888888888886</v>
      </c>
      <c r="M224" s="116">
        <v>0.66875000000000007</v>
      </c>
      <c r="N224" s="116">
        <v>0.6166666666666667</v>
      </c>
      <c r="O224" s="116">
        <v>0.62152777777777779</v>
      </c>
      <c r="P224" s="305">
        <v>7.2812500000000002E-2</v>
      </c>
      <c r="Q224" s="305"/>
    </row>
    <row r="225" spans="2:17">
      <c r="B225" s="117">
        <v>34</v>
      </c>
      <c r="C225" s="117">
        <v>313</v>
      </c>
      <c r="D225" s="118" t="s">
        <v>402</v>
      </c>
      <c r="E225" s="118" t="s">
        <v>378</v>
      </c>
      <c r="F225" s="118"/>
      <c r="G225" s="117" t="s">
        <v>353</v>
      </c>
      <c r="H225" s="116">
        <v>0.65972222222222221</v>
      </c>
      <c r="I225" s="116"/>
      <c r="J225" s="116">
        <v>0.61875000000000002</v>
      </c>
      <c r="K225" s="116">
        <v>0.6743055555555556</v>
      </c>
      <c r="L225" s="116">
        <v>0.58402777777777781</v>
      </c>
      <c r="M225" s="116">
        <v>0.60763888888888895</v>
      </c>
      <c r="N225" s="116">
        <v>0.62569444444444444</v>
      </c>
      <c r="O225" s="116">
        <v>0.61041666666666672</v>
      </c>
      <c r="P225" s="305">
        <v>7.2986111111111113E-2</v>
      </c>
      <c r="Q225" s="305"/>
    </row>
    <row r="226" spans="2:17">
      <c r="B226" s="117">
        <v>35</v>
      </c>
      <c r="C226" s="117">
        <v>325</v>
      </c>
      <c r="D226" s="118" t="s">
        <v>403</v>
      </c>
      <c r="E226" s="118" t="s">
        <v>379</v>
      </c>
      <c r="F226" s="118"/>
      <c r="G226" s="117" t="s">
        <v>353</v>
      </c>
      <c r="H226" s="116">
        <v>0.54652777777777783</v>
      </c>
      <c r="I226" s="116"/>
      <c r="J226" s="116">
        <v>0.7319444444444444</v>
      </c>
      <c r="K226" s="116">
        <v>0.625</v>
      </c>
      <c r="L226" s="116">
        <v>0.71944444444444444</v>
      </c>
      <c r="M226" s="116">
        <v>0.55069444444444449</v>
      </c>
      <c r="N226" s="116">
        <v>0.65972222222222221</v>
      </c>
      <c r="O226" s="116">
        <v>0.58472222222222225</v>
      </c>
      <c r="P226" s="305">
        <v>7.3599537037037033E-2</v>
      </c>
      <c r="Q226" s="305"/>
    </row>
    <row r="227" spans="2:17">
      <c r="B227" s="117">
        <v>36</v>
      </c>
      <c r="C227" s="117">
        <v>330</v>
      </c>
      <c r="D227" s="118" t="s">
        <v>404</v>
      </c>
      <c r="E227" s="118" t="s">
        <v>380</v>
      </c>
      <c r="F227" s="118"/>
      <c r="G227" s="117" t="s">
        <v>353</v>
      </c>
      <c r="H227" s="116">
        <v>0.49513888888888885</v>
      </c>
      <c r="I227" s="116"/>
      <c r="J227" s="116">
        <v>0.63194444444444442</v>
      </c>
      <c r="K227" s="116">
        <v>0.78402777777777777</v>
      </c>
      <c r="L227" s="116">
        <v>0.65694444444444444</v>
      </c>
      <c r="M227" s="116">
        <v>0.65625</v>
      </c>
      <c r="N227" s="116">
        <v>0.67986111111111114</v>
      </c>
      <c r="O227" s="116">
        <v>0.5180555555555556</v>
      </c>
      <c r="P227" s="305">
        <v>7.3668981481481488E-2</v>
      </c>
      <c r="Q227" s="305"/>
    </row>
    <row r="228" spans="2:17">
      <c r="B228" s="117">
        <v>37</v>
      </c>
      <c r="C228" s="117">
        <v>350</v>
      </c>
      <c r="D228" s="118" t="s">
        <v>443</v>
      </c>
      <c r="E228" s="118"/>
      <c r="F228" s="118"/>
      <c r="G228" s="117" t="s">
        <v>353</v>
      </c>
      <c r="H228" s="116">
        <v>0.59722222222222221</v>
      </c>
      <c r="I228" s="116"/>
      <c r="J228" s="116">
        <v>0.64166666666666672</v>
      </c>
      <c r="K228" s="116">
        <v>0.70138888888888884</v>
      </c>
      <c r="L228" s="116">
        <v>0.77361111111111114</v>
      </c>
      <c r="M228" s="116">
        <v>0.53680555555555554</v>
      </c>
      <c r="N228" s="116">
        <v>0.58333333333333337</v>
      </c>
      <c r="O228" s="116">
        <v>0.61041666666666672</v>
      </c>
      <c r="P228" s="305">
        <v>7.4039351851851856E-2</v>
      </c>
      <c r="Q228" s="305"/>
    </row>
    <row r="229" spans="2:17">
      <c r="B229" s="117">
        <v>38</v>
      </c>
      <c r="C229" s="117">
        <v>351</v>
      </c>
      <c r="D229" s="118" t="s">
        <v>418</v>
      </c>
      <c r="E229" s="118" t="s">
        <v>155</v>
      </c>
      <c r="F229" s="118"/>
      <c r="G229" s="117" t="s">
        <v>353</v>
      </c>
      <c r="H229" s="116">
        <v>0.7402777777777777</v>
      </c>
      <c r="I229" s="116"/>
      <c r="J229" s="116">
        <v>0.52708333333333335</v>
      </c>
      <c r="K229" s="116">
        <v>0.54027777777777775</v>
      </c>
      <c r="L229" s="116">
        <v>0.78680555555555554</v>
      </c>
      <c r="M229" s="116">
        <v>0.65</v>
      </c>
      <c r="N229" s="116">
        <v>0.6</v>
      </c>
      <c r="O229" s="116">
        <v>0.65069444444444446</v>
      </c>
      <c r="P229" s="305">
        <v>7.4895833333333328E-2</v>
      </c>
      <c r="Q229" s="305"/>
    </row>
    <row r="230" spans="2:17">
      <c r="B230" s="117">
        <v>39</v>
      </c>
      <c r="C230" s="117">
        <v>347</v>
      </c>
      <c r="D230" s="118" t="s">
        <v>439</v>
      </c>
      <c r="E230" s="118"/>
      <c r="F230" s="118"/>
      <c r="G230" s="117" t="s">
        <v>353</v>
      </c>
      <c r="H230" s="116">
        <v>0.62013888888888891</v>
      </c>
      <c r="I230" s="116"/>
      <c r="J230" s="116">
        <v>0.65347222222222223</v>
      </c>
      <c r="K230" s="116">
        <v>0.79513888888888884</v>
      </c>
      <c r="L230" s="116">
        <v>0.78263888888888899</v>
      </c>
      <c r="M230" s="116">
        <v>0.52430555555555558</v>
      </c>
      <c r="N230" s="116">
        <v>0.54166666666666663</v>
      </c>
      <c r="O230" s="116">
        <v>0.58194444444444449</v>
      </c>
      <c r="P230" s="305">
        <v>7.4942129629629636E-2</v>
      </c>
      <c r="Q230" s="305"/>
    </row>
    <row r="231" spans="2:17">
      <c r="B231" s="117">
        <v>40</v>
      </c>
      <c r="C231" s="117">
        <v>315</v>
      </c>
      <c r="D231" s="118" t="s">
        <v>417</v>
      </c>
      <c r="E231" s="118" t="s">
        <v>381</v>
      </c>
      <c r="F231" s="118"/>
      <c r="G231" s="117" t="s">
        <v>353</v>
      </c>
      <c r="H231" s="116">
        <v>0.48541666666666666</v>
      </c>
      <c r="I231" s="116"/>
      <c r="J231" s="116">
        <v>0.66875000000000007</v>
      </c>
      <c r="K231" s="116">
        <v>0.59444444444444444</v>
      </c>
      <c r="L231" s="116">
        <v>0.92499999999999993</v>
      </c>
      <c r="M231" s="116">
        <v>0.65625</v>
      </c>
      <c r="N231" s="116">
        <v>0.62222222222222223</v>
      </c>
      <c r="O231" s="116">
        <v>0.59444444444444444</v>
      </c>
      <c r="P231" s="305">
        <v>7.5740740740740733E-2</v>
      </c>
      <c r="Q231" s="305"/>
    </row>
    <row r="232" spans="2:17">
      <c r="B232" s="117">
        <v>41</v>
      </c>
      <c r="C232" s="117">
        <v>344</v>
      </c>
      <c r="D232" s="118" t="s">
        <v>441</v>
      </c>
      <c r="E232" s="118"/>
      <c r="F232" s="118"/>
      <c r="G232" s="117" t="s">
        <v>353</v>
      </c>
      <c r="H232" s="116">
        <v>0.50555555555555554</v>
      </c>
      <c r="I232" s="116"/>
      <c r="J232" s="116">
        <v>0.66180555555555554</v>
      </c>
      <c r="K232" s="116">
        <v>0.69305555555555554</v>
      </c>
      <c r="L232" s="116">
        <v>0.54861111111111105</v>
      </c>
      <c r="M232" s="116">
        <v>0.73125000000000007</v>
      </c>
      <c r="N232" s="116">
        <v>0.76527777777777783</v>
      </c>
      <c r="O232" s="116">
        <v>0.66875000000000007</v>
      </c>
      <c r="P232" s="305">
        <v>7.6203703703703704E-2</v>
      </c>
      <c r="Q232" s="305"/>
    </row>
    <row r="233" spans="2:17">
      <c r="B233" s="117">
        <v>42</v>
      </c>
      <c r="C233" s="117">
        <v>323</v>
      </c>
      <c r="D233" s="118" t="s">
        <v>406</v>
      </c>
      <c r="E233" s="118" t="s">
        <v>382</v>
      </c>
      <c r="F233" s="118"/>
      <c r="G233" s="117" t="s">
        <v>353</v>
      </c>
      <c r="H233" s="116">
        <v>0.73958333333333337</v>
      </c>
      <c r="I233" s="116"/>
      <c r="J233" s="116">
        <v>0.66527777777777775</v>
      </c>
      <c r="K233" s="116">
        <v>0.59652777777777777</v>
      </c>
      <c r="L233" s="116">
        <v>0.6972222222222223</v>
      </c>
      <c r="M233" s="116">
        <v>0.69652777777777775</v>
      </c>
      <c r="N233" s="116">
        <v>0.57708333333333328</v>
      </c>
      <c r="O233" s="116">
        <v>0.61388888888888882</v>
      </c>
      <c r="P233" s="305">
        <v>7.6412037037037042E-2</v>
      </c>
      <c r="Q233" s="305"/>
    </row>
    <row r="234" spans="2:17">
      <c r="B234" s="117">
        <v>43</v>
      </c>
      <c r="C234" s="117">
        <v>340</v>
      </c>
      <c r="D234" s="118" t="s">
        <v>407</v>
      </c>
      <c r="E234" s="118" t="s">
        <v>383</v>
      </c>
      <c r="F234" s="118"/>
      <c r="G234" s="117" t="s">
        <v>353</v>
      </c>
      <c r="H234" s="116">
        <v>0.65416666666666667</v>
      </c>
      <c r="I234" s="116"/>
      <c r="J234" s="116">
        <v>0.73472222222222217</v>
      </c>
      <c r="K234" s="116">
        <v>0.58819444444444446</v>
      </c>
      <c r="L234" s="116">
        <v>0.79513888888888884</v>
      </c>
      <c r="M234" s="116">
        <v>0.72152777777777777</v>
      </c>
      <c r="N234" s="116">
        <v>0.5854166666666667</v>
      </c>
      <c r="O234" s="116">
        <v>0.53055555555555556</v>
      </c>
      <c r="P234" s="305">
        <v>7.6793981481481477E-2</v>
      </c>
      <c r="Q234" s="305"/>
    </row>
    <row r="235" spans="2:17">
      <c r="B235" s="117">
        <v>44</v>
      </c>
      <c r="C235" s="117">
        <v>326</v>
      </c>
      <c r="D235" s="118" t="s">
        <v>408</v>
      </c>
      <c r="E235" s="118" t="s">
        <v>384</v>
      </c>
      <c r="F235" s="118"/>
      <c r="G235" s="117" t="s">
        <v>353</v>
      </c>
      <c r="H235" s="116">
        <v>0.50902777777777775</v>
      </c>
      <c r="I235" s="116"/>
      <c r="J235" s="116">
        <v>0.60625000000000007</v>
      </c>
      <c r="K235" s="116">
        <v>0.5854166666666667</v>
      </c>
      <c r="L235" s="116">
        <v>0.5541666666666667</v>
      </c>
      <c r="M235" s="116">
        <v>0.55138888888888882</v>
      </c>
      <c r="N235" s="116">
        <v>0.97569444444444453</v>
      </c>
      <c r="O235" s="116">
        <v>0.84097222222222223</v>
      </c>
      <c r="P235" s="305">
        <v>7.7002314814814815E-2</v>
      </c>
      <c r="Q235" s="305"/>
    </row>
    <row r="236" spans="2:17">
      <c r="B236" s="117">
        <v>45</v>
      </c>
      <c r="C236" s="117">
        <v>322</v>
      </c>
      <c r="D236" s="118" t="s">
        <v>409</v>
      </c>
      <c r="E236" s="118" t="s">
        <v>385</v>
      </c>
      <c r="F236" s="118"/>
      <c r="G236" s="117" t="s">
        <v>353</v>
      </c>
      <c r="H236" s="116">
        <v>0.66319444444444442</v>
      </c>
      <c r="I236" s="116"/>
      <c r="J236" s="116">
        <v>0.6020833333333333</v>
      </c>
      <c r="K236" s="116">
        <v>0.79513888888888884</v>
      </c>
      <c r="L236" s="116">
        <v>0.60833333333333328</v>
      </c>
      <c r="M236" s="116">
        <v>0.65347222222222223</v>
      </c>
      <c r="N236" s="116">
        <v>0.68958333333333333</v>
      </c>
      <c r="O236" s="116">
        <v>0.61875000000000002</v>
      </c>
      <c r="P236" s="305">
        <v>7.7141203703703712E-2</v>
      </c>
      <c r="Q236" s="305"/>
    </row>
    <row r="237" spans="2:17">
      <c r="B237" s="117">
        <v>46</v>
      </c>
      <c r="C237" s="117">
        <v>310</v>
      </c>
      <c r="D237" s="118" t="s">
        <v>410</v>
      </c>
      <c r="E237" s="118" t="s">
        <v>386</v>
      </c>
      <c r="F237" s="118"/>
      <c r="G237" s="117" t="s">
        <v>353</v>
      </c>
      <c r="H237" s="116">
        <v>0.66041666666666665</v>
      </c>
      <c r="I237" s="116"/>
      <c r="J237" s="116">
        <v>0.65902777777777777</v>
      </c>
      <c r="K237" s="116">
        <v>0.66111111111111109</v>
      </c>
      <c r="L237" s="116">
        <v>0.71597222222222223</v>
      </c>
      <c r="M237" s="116">
        <v>0.71388888888888891</v>
      </c>
      <c r="N237" s="116">
        <v>0.60416666666666663</v>
      </c>
      <c r="O237" s="116">
        <v>0.61944444444444446</v>
      </c>
      <c r="P237" s="305">
        <v>7.7210648148148139E-2</v>
      </c>
      <c r="Q237" s="305"/>
    </row>
    <row r="238" spans="2:17">
      <c r="B238" s="117">
        <v>47</v>
      </c>
      <c r="C238" s="117">
        <v>336</v>
      </c>
      <c r="D238" s="118" t="s">
        <v>411</v>
      </c>
      <c r="E238" s="118" t="s">
        <v>387</v>
      </c>
      <c r="F238" s="118"/>
      <c r="G238" s="117" t="s">
        <v>353</v>
      </c>
      <c r="H238" s="116">
        <v>0.60277777777777775</v>
      </c>
      <c r="I238" s="116"/>
      <c r="J238" s="116">
        <v>0.67222222222222217</v>
      </c>
      <c r="K238" s="116">
        <v>0.69444444444444453</v>
      </c>
      <c r="L238" s="116">
        <v>0.73125000000000007</v>
      </c>
      <c r="M238" s="116">
        <v>0.6430555555555556</v>
      </c>
      <c r="N238" s="116">
        <v>0.66805555555555562</v>
      </c>
      <c r="O238" s="116">
        <v>0.64652777777777781</v>
      </c>
      <c r="P238" s="305">
        <v>7.7604166666666669E-2</v>
      </c>
      <c r="Q238" s="305"/>
    </row>
    <row r="239" spans="2:17">
      <c r="B239" s="117">
        <v>48</v>
      </c>
      <c r="C239" s="117">
        <v>349</v>
      </c>
      <c r="D239" s="118" t="s">
        <v>412</v>
      </c>
      <c r="E239" s="118" t="s">
        <v>388</v>
      </c>
      <c r="F239" s="118"/>
      <c r="G239" s="117" t="s">
        <v>353</v>
      </c>
      <c r="H239" s="116">
        <v>0.64374999999999993</v>
      </c>
      <c r="I239" s="116"/>
      <c r="J239" s="116">
        <v>0.64374999999999993</v>
      </c>
      <c r="K239" s="116">
        <v>0.64513888888888882</v>
      </c>
      <c r="L239" s="116">
        <v>0.68194444444444446</v>
      </c>
      <c r="M239" s="116">
        <v>0.67569444444444438</v>
      </c>
      <c r="N239" s="116">
        <v>0.72916666666666663</v>
      </c>
      <c r="O239" s="116">
        <v>0.71805555555555556</v>
      </c>
      <c r="P239" s="305">
        <v>7.8923611111111111E-2</v>
      </c>
      <c r="Q239" s="305"/>
    </row>
    <row r="240" spans="2:17">
      <c r="B240" s="117">
        <v>49</v>
      </c>
      <c r="C240" s="117">
        <v>343</v>
      </c>
      <c r="D240" s="118" t="s">
        <v>440</v>
      </c>
      <c r="E240" s="118"/>
      <c r="F240" s="118"/>
      <c r="G240" s="117" t="s">
        <v>353</v>
      </c>
      <c r="H240" s="116">
        <v>0.63194444444444442</v>
      </c>
      <c r="I240" s="116"/>
      <c r="J240" s="116">
        <v>0.66527777777777775</v>
      </c>
      <c r="K240" s="116">
        <v>0.65416666666666667</v>
      </c>
      <c r="L240" s="116">
        <v>0.7319444444444444</v>
      </c>
      <c r="M240" s="116">
        <v>0.77986111111111101</v>
      </c>
      <c r="N240" s="116">
        <v>0.65416666666666667</v>
      </c>
      <c r="O240" s="116">
        <v>0.6645833333333333</v>
      </c>
      <c r="P240" s="305">
        <v>7.9675925925925928E-2</v>
      </c>
      <c r="Q240" s="305"/>
    </row>
    <row r="241" spans="2:23">
      <c r="B241" s="117">
        <v>50</v>
      </c>
      <c r="C241" s="117">
        <v>306</v>
      </c>
      <c r="D241" s="118" t="s">
        <v>413</v>
      </c>
      <c r="E241" s="118" t="s">
        <v>389</v>
      </c>
      <c r="F241" s="118"/>
      <c r="G241" s="117" t="s">
        <v>353</v>
      </c>
      <c r="H241" s="116">
        <v>0.62569444444444444</v>
      </c>
      <c r="I241" s="116"/>
      <c r="J241" s="116">
        <v>0.61111111111111105</v>
      </c>
      <c r="K241" s="116">
        <v>0.76458333333333339</v>
      </c>
      <c r="L241" s="116">
        <v>0.78125</v>
      </c>
      <c r="M241" s="116">
        <v>0.76041666666666663</v>
      </c>
      <c r="N241" s="116">
        <v>0.71527777777777779</v>
      </c>
      <c r="O241" s="116">
        <v>0.55555555555555558</v>
      </c>
      <c r="P241" s="305">
        <v>8.0185185185185193E-2</v>
      </c>
      <c r="Q241" s="305"/>
    </row>
    <row r="242" spans="2:23">
      <c r="B242" s="117">
        <v>51</v>
      </c>
      <c r="C242" s="117">
        <v>348</v>
      </c>
      <c r="D242" s="118" t="s">
        <v>445</v>
      </c>
      <c r="E242" s="118"/>
      <c r="F242" s="118"/>
      <c r="G242" s="117" t="s">
        <v>353</v>
      </c>
      <c r="H242" s="116">
        <v>0.67569444444444438</v>
      </c>
      <c r="I242" s="116"/>
      <c r="J242" s="116">
        <v>0.69444444444444453</v>
      </c>
      <c r="K242" s="116">
        <v>0.65694444444444444</v>
      </c>
      <c r="L242" s="116">
        <v>0.6430555555555556</v>
      </c>
      <c r="M242" s="116">
        <v>0.7284722222222223</v>
      </c>
      <c r="N242" s="116">
        <v>0.78611111111111109</v>
      </c>
      <c r="O242" s="116">
        <v>0.63888888888888895</v>
      </c>
      <c r="P242" s="305">
        <v>8.0347222222222223E-2</v>
      </c>
      <c r="Q242" s="305"/>
    </row>
    <row r="243" spans="2:23">
      <c r="B243" s="117">
        <v>52</v>
      </c>
      <c r="C243" s="117">
        <v>318</v>
      </c>
      <c r="D243" s="118" t="s">
        <v>414</v>
      </c>
      <c r="E243" s="118" t="s">
        <v>390</v>
      </c>
      <c r="F243" s="118"/>
      <c r="G243" s="117" t="s">
        <v>353</v>
      </c>
      <c r="H243" s="116">
        <v>0.7416666666666667</v>
      </c>
      <c r="I243" s="116"/>
      <c r="J243" s="116">
        <v>0.67847222222222225</v>
      </c>
      <c r="K243" s="116">
        <v>0.84861111111111109</v>
      </c>
      <c r="L243" s="116">
        <v>0.70694444444444438</v>
      </c>
      <c r="M243" s="116">
        <v>0.72291666666666676</v>
      </c>
      <c r="N243" s="116">
        <v>0.61875000000000002</v>
      </c>
      <c r="O243" s="116">
        <v>0.65138888888888891</v>
      </c>
      <c r="P243" s="305">
        <v>8.2789351851851864E-2</v>
      </c>
      <c r="Q243" s="305"/>
    </row>
    <row r="244" spans="2:23">
      <c r="B244" s="117"/>
      <c r="C244" s="117">
        <v>311</v>
      </c>
      <c r="D244" s="118" t="s">
        <v>415</v>
      </c>
      <c r="E244" s="118" t="s">
        <v>391</v>
      </c>
      <c r="F244" s="118"/>
      <c r="G244" s="117" t="s">
        <v>353</v>
      </c>
      <c r="H244" s="116">
        <v>0.47847222222222219</v>
      </c>
      <c r="I244" s="116"/>
      <c r="J244" s="116">
        <v>0.88124999999999998</v>
      </c>
      <c r="K244" s="116">
        <v>0.84930555555555554</v>
      </c>
      <c r="L244" s="116">
        <v>0.84513888888888899</v>
      </c>
      <c r="M244" s="120">
        <v>1.3375000000000001</v>
      </c>
      <c r="N244" s="116">
        <v>0.51041666666666663</v>
      </c>
      <c r="O244" s="117"/>
      <c r="P244" s="306"/>
      <c r="Q244" s="306"/>
    </row>
    <row r="245" spans="2:23">
      <c r="B245" s="117"/>
      <c r="C245" s="117">
        <v>353</v>
      </c>
      <c r="D245" s="118" t="s">
        <v>416</v>
      </c>
      <c r="E245" s="118" t="s">
        <v>392</v>
      </c>
      <c r="F245" s="118"/>
      <c r="G245" s="117" t="s">
        <v>353</v>
      </c>
      <c r="H245" s="116">
        <v>0.64444444444444449</v>
      </c>
      <c r="I245" s="116"/>
      <c r="J245" s="116">
        <v>0.62847222222222221</v>
      </c>
      <c r="K245" s="116">
        <v>0.51666666666666672</v>
      </c>
      <c r="L245" s="116">
        <v>0.7319444444444444</v>
      </c>
      <c r="M245" s="120">
        <v>1.2527777777777778</v>
      </c>
      <c r="N245" s="116">
        <v>0.52222222222222225</v>
      </c>
      <c r="O245" s="117"/>
      <c r="P245" s="306"/>
      <c r="Q245" s="306"/>
    </row>
    <row r="246" spans="2:23">
      <c r="H246"/>
      <c r="I246"/>
      <c r="J246"/>
      <c r="K246"/>
      <c r="L246"/>
      <c r="M246"/>
      <c r="N246"/>
      <c r="O246"/>
      <c r="P246"/>
      <c r="Q246"/>
    </row>
    <row r="248" spans="2:23" ht="23.25">
      <c r="D248" s="20" t="s">
        <v>479</v>
      </c>
      <c r="L248" s="20" t="s">
        <v>1293</v>
      </c>
      <c r="S248" s="249"/>
    </row>
    <row r="249" spans="2:23">
      <c r="S249" s="249"/>
    </row>
    <row r="250" spans="2:23">
      <c r="B250" s="236" t="s">
        <v>0</v>
      </c>
      <c r="C250" s="236" t="s">
        <v>482</v>
      </c>
      <c r="D250" s="236" t="s">
        <v>1</v>
      </c>
      <c r="E250" s="237" t="s">
        <v>926</v>
      </c>
      <c r="F250" s="243" t="s">
        <v>911</v>
      </c>
      <c r="G250" s="237" t="s">
        <v>3</v>
      </c>
      <c r="H250" s="236" t="s">
        <v>483</v>
      </c>
      <c r="I250" s="236"/>
      <c r="J250" s="238" t="s">
        <v>484</v>
      </c>
      <c r="K250" s="238" t="s">
        <v>5</v>
      </c>
      <c r="L250" s="238" t="s">
        <v>6</v>
      </c>
      <c r="M250" s="238" t="s">
        <v>7</v>
      </c>
      <c r="N250" s="238" t="s">
        <v>8</v>
      </c>
      <c r="O250" s="238" t="s">
        <v>9</v>
      </c>
      <c r="P250" s="238" t="s">
        <v>10</v>
      </c>
      <c r="Q250" s="238"/>
      <c r="R250" s="238" t="s">
        <v>11</v>
      </c>
      <c r="S250" s="248" t="s">
        <v>485</v>
      </c>
      <c r="T250" s="238" t="s">
        <v>486</v>
      </c>
      <c r="U250" s="238"/>
      <c r="V250" s="238" t="s">
        <v>487</v>
      </c>
      <c r="W250" s="238" t="s">
        <v>488</v>
      </c>
    </row>
    <row r="251" spans="2:23">
      <c r="B251" s="231">
        <v>1</v>
      </c>
      <c r="C251" s="231">
        <v>1</v>
      </c>
      <c r="D251" s="231">
        <v>443</v>
      </c>
      <c r="E251" t="s">
        <v>914</v>
      </c>
      <c r="F251" t="s">
        <v>911</v>
      </c>
      <c r="G251" s="232" t="s">
        <v>360</v>
      </c>
      <c r="H251" s="231" t="s">
        <v>489</v>
      </c>
      <c r="I251" s="231"/>
      <c r="J251" s="231">
        <v>1</v>
      </c>
      <c r="K251" s="233" t="s">
        <v>189</v>
      </c>
      <c r="L251" s="233" t="s">
        <v>490</v>
      </c>
      <c r="M251" s="233" t="s">
        <v>491</v>
      </c>
      <c r="N251" s="233" t="s">
        <v>492</v>
      </c>
      <c r="O251" s="233" t="s">
        <v>348</v>
      </c>
      <c r="P251" s="233" t="s">
        <v>493</v>
      </c>
      <c r="Q251" s="233"/>
      <c r="R251" s="233" t="s">
        <v>59</v>
      </c>
      <c r="S251" s="248" t="s">
        <v>494</v>
      </c>
      <c r="T251" s="231"/>
      <c r="U251" s="231"/>
      <c r="V251" s="233" t="s">
        <v>495</v>
      </c>
      <c r="W251" s="233" t="s">
        <v>496</v>
      </c>
    </row>
    <row r="252" spans="2:23">
      <c r="B252" s="231">
        <v>2</v>
      </c>
      <c r="C252" s="231">
        <v>2</v>
      </c>
      <c r="D252" s="231">
        <v>460</v>
      </c>
      <c r="E252" t="s">
        <v>915</v>
      </c>
      <c r="F252" t="s">
        <v>911</v>
      </c>
      <c r="G252" s="232" t="s">
        <v>497</v>
      </c>
      <c r="H252" s="231" t="s">
        <v>489</v>
      </c>
      <c r="I252" s="231"/>
      <c r="J252" s="231">
        <v>2</v>
      </c>
      <c r="K252" s="233" t="s">
        <v>72</v>
      </c>
      <c r="L252" s="233" t="s">
        <v>20</v>
      </c>
      <c r="M252" s="233" t="s">
        <v>41</v>
      </c>
      <c r="N252" s="233" t="s">
        <v>347</v>
      </c>
      <c r="O252" s="233" t="s">
        <v>498</v>
      </c>
      <c r="P252" s="233" t="s">
        <v>65</v>
      </c>
      <c r="Q252" s="233"/>
      <c r="R252" s="233" t="s">
        <v>499</v>
      </c>
      <c r="S252" s="248" t="s">
        <v>500</v>
      </c>
      <c r="T252" s="233" t="s">
        <v>501</v>
      </c>
      <c r="U252" s="233"/>
      <c r="V252" s="233" t="s">
        <v>502</v>
      </c>
      <c r="W252" s="233" t="s">
        <v>496</v>
      </c>
    </row>
    <row r="253" spans="2:23">
      <c r="B253" s="231">
        <v>3</v>
      </c>
      <c r="C253" s="231">
        <v>3</v>
      </c>
      <c r="D253" s="231">
        <v>419</v>
      </c>
      <c r="E253" t="s">
        <v>916</v>
      </c>
      <c r="F253" t="s">
        <v>911</v>
      </c>
      <c r="G253" s="232" t="s">
        <v>358</v>
      </c>
      <c r="H253" s="231" t="s">
        <v>489</v>
      </c>
      <c r="I253" s="231"/>
      <c r="J253" s="231">
        <v>3</v>
      </c>
      <c r="K253" s="233" t="s">
        <v>189</v>
      </c>
      <c r="L253" s="233" t="s">
        <v>503</v>
      </c>
      <c r="M253" s="233" t="s">
        <v>158</v>
      </c>
      <c r="N253" s="233" t="s">
        <v>168</v>
      </c>
      <c r="O253" s="233" t="s">
        <v>504</v>
      </c>
      <c r="P253" s="233" t="s">
        <v>499</v>
      </c>
      <c r="Q253" s="233"/>
      <c r="R253" s="233" t="s">
        <v>505</v>
      </c>
      <c r="S253" s="248" t="s">
        <v>506</v>
      </c>
      <c r="T253" s="233" t="s">
        <v>507</v>
      </c>
      <c r="U253" s="233"/>
      <c r="V253" s="233" t="s">
        <v>508</v>
      </c>
      <c r="W253" s="233" t="s">
        <v>509</v>
      </c>
    </row>
    <row r="254" spans="2:23">
      <c r="B254" s="231">
        <v>4</v>
      </c>
      <c r="C254" s="231">
        <v>4</v>
      </c>
      <c r="D254" s="231">
        <v>400</v>
      </c>
      <c r="E254" t="s">
        <v>917</v>
      </c>
      <c r="F254" t="s">
        <v>911</v>
      </c>
      <c r="G254" s="232" t="s">
        <v>510</v>
      </c>
      <c r="H254" s="231" t="s">
        <v>489</v>
      </c>
      <c r="I254" s="231"/>
      <c r="J254" s="231">
        <v>4</v>
      </c>
      <c r="K254" s="233" t="s">
        <v>58</v>
      </c>
      <c r="L254" s="233" t="s">
        <v>50</v>
      </c>
      <c r="M254" s="233" t="s">
        <v>36</v>
      </c>
      <c r="N254" s="233" t="s">
        <v>511</v>
      </c>
      <c r="O254" s="233" t="s">
        <v>512</v>
      </c>
      <c r="P254" s="233" t="s">
        <v>113</v>
      </c>
      <c r="Q254" s="233"/>
      <c r="R254" s="233" t="s">
        <v>203</v>
      </c>
      <c r="S254" s="248" t="s">
        <v>513</v>
      </c>
      <c r="T254" s="233" t="s">
        <v>514</v>
      </c>
      <c r="U254" s="233"/>
      <c r="V254" s="233" t="s">
        <v>515</v>
      </c>
      <c r="W254" s="233" t="s">
        <v>516</v>
      </c>
    </row>
    <row r="255" spans="2:23">
      <c r="B255" s="231">
        <v>5</v>
      </c>
      <c r="C255" s="231">
        <v>1</v>
      </c>
      <c r="D255" s="231">
        <v>500</v>
      </c>
      <c r="E255" t="s">
        <v>918</v>
      </c>
      <c r="F255" t="s">
        <v>911</v>
      </c>
      <c r="G255" s="232" t="s">
        <v>517</v>
      </c>
      <c r="H255" s="231" t="s">
        <v>518</v>
      </c>
      <c r="I255" s="231"/>
      <c r="J255" s="231">
        <v>1</v>
      </c>
      <c r="K255" s="233" t="s">
        <v>66</v>
      </c>
      <c r="L255" s="233" t="s">
        <v>519</v>
      </c>
      <c r="M255" s="233" t="s">
        <v>520</v>
      </c>
      <c r="N255" s="233" t="s">
        <v>521</v>
      </c>
      <c r="O255" s="233" t="s">
        <v>131</v>
      </c>
      <c r="P255" s="233" t="s">
        <v>522</v>
      </c>
      <c r="Q255" s="233"/>
      <c r="R255" s="233" t="s">
        <v>47</v>
      </c>
      <c r="S255" s="248" t="s">
        <v>523</v>
      </c>
      <c r="T255" s="233" t="s">
        <v>524</v>
      </c>
      <c r="U255" s="233"/>
      <c r="V255" s="233" t="s">
        <v>525</v>
      </c>
      <c r="W255" s="233" t="s">
        <v>516</v>
      </c>
    </row>
    <row r="256" spans="2:23">
      <c r="B256" s="231">
        <v>6</v>
      </c>
      <c r="C256" s="231">
        <v>2</v>
      </c>
      <c r="D256" s="231">
        <v>506</v>
      </c>
      <c r="E256" t="s">
        <v>919</v>
      </c>
      <c r="F256" t="s">
        <v>911</v>
      </c>
      <c r="G256" s="232" t="s">
        <v>526</v>
      </c>
      <c r="H256" s="231" t="s">
        <v>518</v>
      </c>
      <c r="I256" s="231"/>
      <c r="J256" s="231">
        <v>2</v>
      </c>
      <c r="K256" s="233" t="s">
        <v>20</v>
      </c>
      <c r="L256" s="233" t="s">
        <v>527</v>
      </c>
      <c r="M256" s="233" t="s">
        <v>528</v>
      </c>
      <c r="N256" s="233" t="s">
        <v>529</v>
      </c>
      <c r="O256" s="233" t="s">
        <v>27</v>
      </c>
      <c r="P256" s="233" t="s">
        <v>168</v>
      </c>
      <c r="Q256" s="233"/>
      <c r="R256" s="233" t="s">
        <v>493</v>
      </c>
      <c r="S256" s="248" t="s">
        <v>530</v>
      </c>
      <c r="T256" s="233" t="s">
        <v>531</v>
      </c>
      <c r="U256" s="233"/>
      <c r="V256" s="233" t="s">
        <v>532</v>
      </c>
      <c r="W256" s="233" t="s">
        <v>533</v>
      </c>
    </row>
    <row r="257" spans="2:23">
      <c r="B257" s="231">
        <v>7</v>
      </c>
      <c r="C257" s="231">
        <v>5</v>
      </c>
      <c r="D257" s="231">
        <v>422</v>
      </c>
      <c r="E257" t="s">
        <v>920</v>
      </c>
      <c r="F257" t="s">
        <v>911</v>
      </c>
      <c r="G257" s="232" t="s">
        <v>534</v>
      </c>
      <c r="H257" s="231" t="s">
        <v>489</v>
      </c>
      <c r="I257" s="231"/>
      <c r="J257" s="231">
        <v>5</v>
      </c>
      <c r="K257" s="233" t="s">
        <v>216</v>
      </c>
      <c r="L257" s="233" t="s">
        <v>114</v>
      </c>
      <c r="M257" s="233" t="s">
        <v>132</v>
      </c>
      <c r="N257" s="233" t="s">
        <v>535</v>
      </c>
      <c r="O257" s="233" t="s">
        <v>536</v>
      </c>
      <c r="P257" s="233" t="s">
        <v>537</v>
      </c>
      <c r="Q257" s="233"/>
      <c r="R257" s="233" t="s">
        <v>40</v>
      </c>
      <c r="S257" s="248" t="s">
        <v>538</v>
      </c>
      <c r="T257" s="233" t="s">
        <v>539</v>
      </c>
      <c r="U257" s="233"/>
      <c r="V257" s="233" t="s">
        <v>532</v>
      </c>
      <c r="W257" s="233" t="s">
        <v>533</v>
      </c>
    </row>
    <row r="258" spans="2:23">
      <c r="B258" s="231">
        <v>8</v>
      </c>
      <c r="C258" s="231">
        <v>6</v>
      </c>
      <c r="D258" s="231">
        <v>456</v>
      </c>
      <c r="E258" t="s">
        <v>921</v>
      </c>
      <c r="F258" t="s">
        <v>911</v>
      </c>
      <c r="G258" t="s">
        <v>540</v>
      </c>
      <c r="H258" s="231" t="s">
        <v>489</v>
      </c>
      <c r="I258" s="231"/>
      <c r="J258" s="231">
        <v>6</v>
      </c>
      <c r="K258" s="233" t="s">
        <v>541</v>
      </c>
      <c r="L258" s="233" t="s">
        <v>152</v>
      </c>
      <c r="M258" s="233" t="s">
        <v>27</v>
      </c>
      <c r="N258" s="233" t="s">
        <v>542</v>
      </c>
      <c r="O258" s="233" t="s">
        <v>29</v>
      </c>
      <c r="P258" s="233" t="s">
        <v>543</v>
      </c>
      <c r="Q258" s="233"/>
      <c r="R258" s="233" t="s">
        <v>544</v>
      </c>
      <c r="S258" s="248" t="s">
        <v>98</v>
      </c>
      <c r="T258" s="233" t="s">
        <v>545</v>
      </c>
      <c r="U258" s="233"/>
      <c r="V258" s="233" t="s">
        <v>507</v>
      </c>
      <c r="W258" s="233" t="s">
        <v>533</v>
      </c>
    </row>
    <row r="259" spans="2:23">
      <c r="B259" s="231">
        <v>9</v>
      </c>
      <c r="C259" s="231">
        <v>7</v>
      </c>
      <c r="D259" s="231">
        <v>412</v>
      </c>
      <c r="E259" t="s">
        <v>922</v>
      </c>
      <c r="F259" t="s">
        <v>911</v>
      </c>
      <c r="G259" s="232"/>
      <c r="H259" s="231" t="s">
        <v>489</v>
      </c>
      <c r="I259" s="231"/>
      <c r="J259" s="231">
        <v>7</v>
      </c>
      <c r="K259" s="233" t="s">
        <v>103</v>
      </c>
      <c r="L259" s="233" t="s">
        <v>546</v>
      </c>
      <c r="M259" s="233" t="s">
        <v>61</v>
      </c>
      <c r="N259" s="233" t="s">
        <v>512</v>
      </c>
      <c r="O259" s="233" t="s">
        <v>132</v>
      </c>
      <c r="P259" s="233" t="s">
        <v>237</v>
      </c>
      <c r="Q259" s="233"/>
      <c r="R259" s="233" t="s">
        <v>547</v>
      </c>
      <c r="S259" s="248" t="s">
        <v>548</v>
      </c>
      <c r="T259" s="233" t="s">
        <v>549</v>
      </c>
      <c r="U259" s="233"/>
      <c r="V259" s="233" t="s">
        <v>550</v>
      </c>
      <c r="W259" s="233" t="s">
        <v>551</v>
      </c>
    </row>
    <row r="260" spans="2:23">
      <c r="B260" s="231">
        <v>10</v>
      </c>
      <c r="C260" s="231">
        <v>8</v>
      </c>
      <c r="D260" s="231">
        <v>454</v>
      </c>
      <c r="E260" t="s">
        <v>923</v>
      </c>
      <c r="F260" t="s">
        <v>911</v>
      </c>
      <c r="G260" t="s">
        <v>552</v>
      </c>
      <c r="H260" s="231" t="s">
        <v>489</v>
      </c>
      <c r="I260" s="231"/>
      <c r="J260" s="231">
        <v>8</v>
      </c>
      <c r="K260" s="233" t="s">
        <v>553</v>
      </c>
      <c r="L260" s="233" t="s">
        <v>49</v>
      </c>
      <c r="M260" s="233" t="s">
        <v>554</v>
      </c>
      <c r="N260" s="233" t="s">
        <v>75</v>
      </c>
      <c r="O260" s="233" t="s">
        <v>555</v>
      </c>
      <c r="P260" s="233" t="s">
        <v>141</v>
      </c>
      <c r="Q260" s="233"/>
      <c r="R260" s="233" t="s">
        <v>209</v>
      </c>
      <c r="S260" s="248" t="s">
        <v>556</v>
      </c>
      <c r="T260" s="233" t="s">
        <v>557</v>
      </c>
      <c r="U260" s="233"/>
      <c r="V260" s="233" t="s">
        <v>558</v>
      </c>
      <c r="W260" s="233" t="s">
        <v>559</v>
      </c>
    </row>
    <row r="261" spans="2:23">
      <c r="B261" s="231">
        <v>11</v>
      </c>
      <c r="C261" s="231">
        <v>3</v>
      </c>
      <c r="D261" s="231">
        <v>501</v>
      </c>
      <c r="E261" t="s">
        <v>924</v>
      </c>
      <c r="F261" t="s">
        <v>911</v>
      </c>
      <c r="G261" s="232" t="s">
        <v>510</v>
      </c>
      <c r="H261" s="231" t="s">
        <v>518</v>
      </c>
      <c r="I261" s="231"/>
      <c r="J261" s="231">
        <v>3</v>
      </c>
      <c r="K261" s="233" t="s">
        <v>560</v>
      </c>
      <c r="L261" s="233" t="s">
        <v>118</v>
      </c>
      <c r="M261" s="233" t="s">
        <v>561</v>
      </c>
      <c r="N261" s="233" t="s">
        <v>65</v>
      </c>
      <c r="O261" s="233" t="s">
        <v>562</v>
      </c>
      <c r="P261" s="233" t="s">
        <v>148</v>
      </c>
      <c r="Q261" s="233"/>
      <c r="R261" s="233" t="s">
        <v>563</v>
      </c>
      <c r="S261" s="248" t="s">
        <v>564</v>
      </c>
      <c r="T261" s="233" t="s">
        <v>565</v>
      </c>
      <c r="U261" s="233"/>
      <c r="V261" s="233" t="s">
        <v>566</v>
      </c>
      <c r="W261" s="233" t="s">
        <v>559</v>
      </c>
    </row>
    <row r="262" spans="2:23">
      <c r="B262" s="231">
        <v>12</v>
      </c>
      <c r="C262" s="231">
        <v>9</v>
      </c>
      <c r="D262" s="231">
        <v>458</v>
      </c>
      <c r="E262" t="s">
        <v>925</v>
      </c>
      <c r="F262" t="s">
        <v>911</v>
      </c>
      <c r="G262" s="232" t="s">
        <v>567</v>
      </c>
      <c r="H262" s="231" t="s">
        <v>489</v>
      </c>
      <c r="I262" s="231"/>
      <c r="J262" s="231">
        <v>9</v>
      </c>
      <c r="K262" s="233" t="s">
        <v>67</v>
      </c>
      <c r="L262" s="233" t="s">
        <v>568</v>
      </c>
      <c r="M262" s="233" t="s">
        <v>231</v>
      </c>
      <c r="N262" s="233" t="s">
        <v>569</v>
      </c>
      <c r="O262" s="233" t="s">
        <v>123</v>
      </c>
      <c r="P262" s="233" t="s">
        <v>570</v>
      </c>
      <c r="Q262" s="233"/>
      <c r="R262" s="233" t="s">
        <v>571</v>
      </c>
      <c r="S262" s="248" t="s">
        <v>572</v>
      </c>
      <c r="T262" s="233" t="s">
        <v>573</v>
      </c>
      <c r="U262" s="233"/>
      <c r="V262" s="233" t="s">
        <v>566</v>
      </c>
      <c r="W262" s="233" t="s">
        <v>559</v>
      </c>
    </row>
    <row r="263" spans="2:23">
      <c r="B263" s="245">
        <v>13</v>
      </c>
      <c r="C263" s="245">
        <v>10</v>
      </c>
      <c r="D263" s="245">
        <v>430</v>
      </c>
      <c r="E263" s="244" t="s">
        <v>913</v>
      </c>
      <c r="F263" s="244" t="s">
        <v>911</v>
      </c>
      <c r="G263" s="246" t="s">
        <v>127</v>
      </c>
      <c r="H263" s="245" t="s">
        <v>489</v>
      </c>
      <c r="I263" s="245"/>
      <c r="J263" s="245">
        <v>10</v>
      </c>
      <c r="K263" s="247" t="s">
        <v>560</v>
      </c>
      <c r="L263" s="247" t="s">
        <v>307</v>
      </c>
      <c r="M263" s="247" t="s">
        <v>553</v>
      </c>
      <c r="N263" s="247" t="s">
        <v>215</v>
      </c>
      <c r="O263" s="247" t="s">
        <v>574</v>
      </c>
      <c r="P263" s="247" t="s">
        <v>575</v>
      </c>
      <c r="Q263" s="247"/>
      <c r="R263" s="247" t="s">
        <v>185</v>
      </c>
      <c r="S263" s="248" t="s">
        <v>576</v>
      </c>
      <c r="T263" s="247" t="s">
        <v>577</v>
      </c>
      <c r="U263" s="247"/>
      <c r="V263" s="247" t="s">
        <v>578</v>
      </c>
      <c r="W263" s="247" t="s">
        <v>579</v>
      </c>
    </row>
    <row r="264" spans="2:23">
      <c r="B264" s="231">
        <v>14</v>
      </c>
      <c r="C264" s="231">
        <v>4</v>
      </c>
      <c r="D264" s="231">
        <v>504</v>
      </c>
      <c r="E264" t="s">
        <v>951</v>
      </c>
      <c r="F264" t="s">
        <v>911</v>
      </c>
      <c r="G264" s="232" t="s">
        <v>580</v>
      </c>
      <c r="H264" s="231" t="s">
        <v>518</v>
      </c>
      <c r="I264" s="231"/>
      <c r="J264" s="231">
        <v>4</v>
      </c>
      <c r="K264" s="233" t="s">
        <v>554</v>
      </c>
      <c r="L264" s="233" t="s">
        <v>307</v>
      </c>
      <c r="M264" s="233" t="s">
        <v>158</v>
      </c>
      <c r="N264" s="233" t="s">
        <v>478</v>
      </c>
      <c r="O264" s="233" t="s">
        <v>581</v>
      </c>
      <c r="P264" s="233" t="s">
        <v>582</v>
      </c>
      <c r="Q264" s="233"/>
      <c r="R264" s="233" t="s">
        <v>583</v>
      </c>
      <c r="S264" s="248" t="s">
        <v>584</v>
      </c>
      <c r="T264" s="233" t="s">
        <v>585</v>
      </c>
      <c r="U264" s="233"/>
      <c r="V264" s="233" t="s">
        <v>586</v>
      </c>
      <c r="W264" s="233" t="s">
        <v>579</v>
      </c>
    </row>
    <row r="265" spans="2:23">
      <c r="B265" s="231">
        <v>15</v>
      </c>
      <c r="C265" s="231">
        <v>11</v>
      </c>
      <c r="D265" s="231">
        <v>439</v>
      </c>
      <c r="E265" t="s">
        <v>952</v>
      </c>
      <c r="F265" t="s">
        <v>911</v>
      </c>
      <c r="G265" s="232" t="s">
        <v>587</v>
      </c>
      <c r="H265" s="231" t="s">
        <v>489</v>
      </c>
      <c r="I265" s="231"/>
      <c r="J265" s="231">
        <v>11</v>
      </c>
      <c r="K265" s="233" t="s">
        <v>588</v>
      </c>
      <c r="L265" s="233" t="s">
        <v>181</v>
      </c>
      <c r="M265" s="233" t="s">
        <v>185</v>
      </c>
      <c r="N265" s="233" t="s">
        <v>119</v>
      </c>
      <c r="O265" s="233" t="s">
        <v>589</v>
      </c>
      <c r="P265" s="233" t="s">
        <v>590</v>
      </c>
      <c r="Q265" s="233"/>
      <c r="R265" s="233" t="s">
        <v>591</v>
      </c>
      <c r="S265" s="248" t="s">
        <v>592</v>
      </c>
      <c r="T265" s="233" t="s">
        <v>528</v>
      </c>
      <c r="U265" s="233"/>
      <c r="V265" s="233" t="s">
        <v>593</v>
      </c>
      <c r="W265" s="233" t="s">
        <v>594</v>
      </c>
    </row>
    <row r="266" spans="2:23">
      <c r="B266" s="231">
        <v>16</v>
      </c>
      <c r="C266" s="231">
        <v>12</v>
      </c>
      <c r="D266" s="231">
        <v>424</v>
      </c>
      <c r="E266" t="s">
        <v>953</v>
      </c>
      <c r="F266" t="s">
        <v>911</v>
      </c>
      <c r="G266" s="232"/>
      <c r="H266" s="231" t="s">
        <v>489</v>
      </c>
      <c r="I266" s="231"/>
      <c r="J266" s="231">
        <v>12</v>
      </c>
      <c r="K266" s="233" t="s">
        <v>50</v>
      </c>
      <c r="L266" s="233" t="s">
        <v>211</v>
      </c>
      <c r="M266" s="233" t="s">
        <v>119</v>
      </c>
      <c r="N266" s="233" t="s">
        <v>595</v>
      </c>
      <c r="O266" s="233" t="s">
        <v>67</v>
      </c>
      <c r="P266" s="233" t="s">
        <v>223</v>
      </c>
      <c r="Q266" s="233"/>
      <c r="R266" s="233" t="s">
        <v>596</v>
      </c>
      <c r="S266" s="248" t="s">
        <v>597</v>
      </c>
      <c r="T266" s="233" t="s">
        <v>180</v>
      </c>
      <c r="U266" s="233"/>
      <c r="V266" s="233" t="s">
        <v>593</v>
      </c>
      <c r="W266" s="233" t="s">
        <v>594</v>
      </c>
    </row>
    <row r="267" spans="2:23">
      <c r="B267" s="231">
        <v>17</v>
      </c>
      <c r="C267" s="231">
        <v>5</v>
      </c>
      <c r="D267" s="231">
        <v>502</v>
      </c>
      <c r="E267" t="s">
        <v>954</v>
      </c>
      <c r="F267" t="s">
        <v>911</v>
      </c>
      <c r="G267" s="232" t="s">
        <v>378</v>
      </c>
      <c r="H267" s="231" t="s">
        <v>518</v>
      </c>
      <c r="I267" s="231"/>
      <c r="J267" s="231">
        <v>5</v>
      </c>
      <c r="K267" s="233" t="s">
        <v>503</v>
      </c>
      <c r="L267" s="233" t="s">
        <v>86</v>
      </c>
      <c r="M267" s="233" t="s">
        <v>209</v>
      </c>
      <c r="N267" s="233" t="s">
        <v>86</v>
      </c>
      <c r="O267" s="233" t="s">
        <v>598</v>
      </c>
      <c r="P267" s="233" t="s">
        <v>164</v>
      </c>
      <c r="Q267" s="233"/>
      <c r="R267" s="233" t="s">
        <v>599</v>
      </c>
      <c r="S267" s="248" t="s">
        <v>600</v>
      </c>
      <c r="T267" s="233" t="s">
        <v>110</v>
      </c>
      <c r="U267" s="233"/>
      <c r="V267" s="233" t="s">
        <v>601</v>
      </c>
      <c r="W267" s="233" t="s">
        <v>602</v>
      </c>
    </row>
    <row r="268" spans="2:23">
      <c r="B268" s="231">
        <v>18</v>
      </c>
      <c r="C268" s="231">
        <v>13</v>
      </c>
      <c r="D268" s="231">
        <v>403</v>
      </c>
      <c r="E268" t="s">
        <v>955</v>
      </c>
      <c r="F268" t="s">
        <v>911</v>
      </c>
      <c r="G268" s="232" t="s">
        <v>603</v>
      </c>
      <c r="H268" s="231" t="s">
        <v>489</v>
      </c>
      <c r="I268" s="231"/>
      <c r="J268" s="231">
        <v>13</v>
      </c>
      <c r="K268" s="233" t="s">
        <v>604</v>
      </c>
      <c r="L268" s="233" t="s">
        <v>226</v>
      </c>
      <c r="M268" s="233" t="s">
        <v>241</v>
      </c>
      <c r="N268" s="233" t="s">
        <v>560</v>
      </c>
      <c r="O268" s="233" t="s">
        <v>241</v>
      </c>
      <c r="P268" s="233" t="s">
        <v>27</v>
      </c>
      <c r="Q268" s="233"/>
      <c r="R268" s="233" t="s">
        <v>347</v>
      </c>
      <c r="S268" s="248" t="s">
        <v>605</v>
      </c>
      <c r="T268" s="233" t="s">
        <v>93</v>
      </c>
      <c r="U268" s="233"/>
      <c r="V268" s="233" t="s">
        <v>601</v>
      </c>
      <c r="W268" s="233" t="s">
        <v>602</v>
      </c>
    </row>
    <row r="269" spans="2:23">
      <c r="B269" s="231">
        <v>19</v>
      </c>
      <c r="C269" s="231">
        <v>6</v>
      </c>
      <c r="D269" s="231">
        <v>503</v>
      </c>
      <c r="E269" t="s">
        <v>956</v>
      </c>
      <c r="F269" t="s">
        <v>911</v>
      </c>
      <c r="G269" s="232" t="s">
        <v>580</v>
      </c>
      <c r="H269" s="231" t="s">
        <v>518</v>
      </c>
      <c r="I269" s="231"/>
      <c r="J269" s="231">
        <v>6</v>
      </c>
      <c r="K269" s="233" t="s">
        <v>606</v>
      </c>
      <c r="L269" s="233" t="s">
        <v>142</v>
      </c>
      <c r="M269" s="233" t="s">
        <v>607</v>
      </c>
      <c r="N269" s="233" t="s">
        <v>251</v>
      </c>
      <c r="O269" s="233" t="s">
        <v>149</v>
      </c>
      <c r="P269" s="233" t="s">
        <v>608</v>
      </c>
      <c r="Q269" s="233"/>
      <c r="R269" s="233" t="s">
        <v>609</v>
      </c>
      <c r="S269" s="248" t="s">
        <v>610</v>
      </c>
      <c r="T269" s="233" t="s">
        <v>611</v>
      </c>
      <c r="U269" s="233"/>
      <c r="V269" s="233" t="s">
        <v>601</v>
      </c>
      <c r="W269" s="233" t="s">
        <v>602</v>
      </c>
    </row>
    <row r="270" spans="2:23">
      <c r="B270" s="231">
        <v>20</v>
      </c>
      <c r="C270" s="231">
        <v>14</v>
      </c>
      <c r="D270" s="231">
        <v>402</v>
      </c>
      <c r="E270" t="s">
        <v>957</v>
      </c>
      <c r="F270" t="s">
        <v>911</v>
      </c>
      <c r="G270" s="232" t="s">
        <v>389</v>
      </c>
      <c r="H270" s="231" t="s">
        <v>489</v>
      </c>
      <c r="I270" s="231"/>
      <c r="J270" s="231">
        <v>14</v>
      </c>
      <c r="K270" s="233" t="s">
        <v>565</v>
      </c>
      <c r="L270" s="233" t="s">
        <v>612</v>
      </c>
      <c r="M270" s="233" t="s">
        <v>589</v>
      </c>
      <c r="N270" s="233" t="s">
        <v>613</v>
      </c>
      <c r="O270" s="233" t="s">
        <v>160</v>
      </c>
      <c r="P270" s="233" t="s">
        <v>569</v>
      </c>
      <c r="Q270" s="233"/>
      <c r="R270" s="233" t="s">
        <v>555</v>
      </c>
      <c r="S270" s="248" t="s">
        <v>614</v>
      </c>
      <c r="T270" s="233" t="s">
        <v>615</v>
      </c>
      <c r="U270" s="233"/>
      <c r="V270" s="233" t="s">
        <v>616</v>
      </c>
      <c r="W270" s="233" t="s">
        <v>617</v>
      </c>
    </row>
    <row r="271" spans="2:23">
      <c r="B271" s="231">
        <v>21</v>
      </c>
      <c r="C271" s="231">
        <v>15</v>
      </c>
      <c r="D271" s="231">
        <v>416</v>
      </c>
      <c r="E271" t="s">
        <v>958</v>
      </c>
      <c r="F271" t="s">
        <v>911</v>
      </c>
      <c r="G271" s="232" t="s">
        <v>618</v>
      </c>
      <c r="H271" s="231" t="s">
        <v>489</v>
      </c>
      <c r="I271" s="231"/>
      <c r="J271" s="231">
        <v>15</v>
      </c>
      <c r="K271" s="233" t="s">
        <v>503</v>
      </c>
      <c r="L271" s="233" t="s">
        <v>86</v>
      </c>
      <c r="M271" s="233" t="s">
        <v>595</v>
      </c>
      <c r="N271" s="233" t="s">
        <v>218</v>
      </c>
      <c r="O271" s="233" t="s">
        <v>619</v>
      </c>
      <c r="P271" s="233" t="s">
        <v>237</v>
      </c>
      <c r="Q271" s="233"/>
      <c r="R271" s="233" t="s">
        <v>620</v>
      </c>
      <c r="S271" s="248" t="s">
        <v>621</v>
      </c>
      <c r="T271" s="233" t="s">
        <v>207</v>
      </c>
      <c r="U271" s="233"/>
      <c r="V271" s="233" t="s">
        <v>622</v>
      </c>
      <c r="W271" s="233" t="s">
        <v>623</v>
      </c>
    </row>
    <row r="272" spans="2:23">
      <c r="B272" s="231">
        <v>22</v>
      </c>
      <c r="C272" s="231">
        <v>16</v>
      </c>
      <c r="D272" s="231">
        <v>442</v>
      </c>
      <c r="E272" t="s">
        <v>959</v>
      </c>
      <c r="F272" t="s">
        <v>911</v>
      </c>
      <c r="G272" s="232" t="s">
        <v>624</v>
      </c>
      <c r="H272" s="231" t="s">
        <v>489</v>
      </c>
      <c r="I272" s="231"/>
      <c r="J272" s="231">
        <v>16</v>
      </c>
      <c r="K272" s="233" t="s">
        <v>138</v>
      </c>
      <c r="L272" s="233" t="s">
        <v>625</v>
      </c>
      <c r="M272" s="233" t="s">
        <v>626</v>
      </c>
      <c r="N272" s="233" t="s">
        <v>627</v>
      </c>
      <c r="O272" s="233" t="s">
        <v>628</v>
      </c>
      <c r="P272" s="233" t="s">
        <v>132</v>
      </c>
      <c r="Q272" s="233"/>
      <c r="R272" s="233" t="s">
        <v>629</v>
      </c>
      <c r="S272" s="248" t="s">
        <v>630</v>
      </c>
      <c r="T272" s="233" t="s">
        <v>631</v>
      </c>
      <c r="U272" s="233"/>
      <c r="V272" s="233" t="s">
        <v>632</v>
      </c>
      <c r="W272" s="233" t="s">
        <v>633</v>
      </c>
    </row>
    <row r="273" spans="2:23">
      <c r="B273" s="231">
        <v>23</v>
      </c>
      <c r="C273" s="231">
        <v>17</v>
      </c>
      <c r="D273" s="231">
        <v>440</v>
      </c>
      <c r="E273" t="s">
        <v>960</v>
      </c>
      <c r="F273" t="s">
        <v>911</v>
      </c>
      <c r="G273" s="232" t="s">
        <v>634</v>
      </c>
      <c r="H273" s="231" t="s">
        <v>489</v>
      </c>
      <c r="I273" s="231"/>
      <c r="J273" s="231">
        <v>17</v>
      </c>
      <c r="K273" s="233" t="s">
        <v>190</v>
      </c>
      <c r="L273" s="233" t="s">
        <v>635</v>
      </c>
      <c r="M273" s="233" t="s">
        <v>636</v>
      </c>
      <c r="N273" s="233" t="s">
        <v>60</v>
      </c>
      <c r="O273" s="233" t="s">
        <v>568</v>
      </c>
      <c r="P273" s="233" t="s">
        <v>637</v>
      </c>
      <c r="Q273" s="233"/>
      <c r="R273" s="233" t="s">
        <v>638</v>
      </c>
      <c r="S273" s="248" t="s">
        <v>639</v>
      </c>
      <c r="T273" s="233" t="s">
        <v>193</v>
      </c>
      <c r="U273" s="233"/>
      <c r="V273" s="233" t="s">
        <v>640</v>
      </c>
      <c r="W273" s="233" t="s">
        <v>633</v>
      </c>
    </row>
    <row r="274" spans="2:23">
      <c r="B274" s="231">
        <v>24</v>
      </c>
      <c r="C274" s="231">
        <v>18</v>
      </c>
      <c r="D274" s="231">
        <v>435</v>
      </c>
      <c r="E274" t="s">
        <v>961</v>
      </c>
      <c r="F274" t="s">
        <v>911</v>
      </c>
      <c r="G274" s="232" t="s">
        <v>641</v>
      </c>
      <c r="H274" s="231" t="s">
        <v>489</v>
      </c>
      <c r="I274" s="231"/>
      <c r="J274" s="231">
        <v>18</v>
      </c>
      <c r="K274" s="233" t="s">
        <v>642</v>
      </c>
      <c r="L274" s="233" t="s">
        <v>85</v>
      </c>
      <c r="M274" s="233" t="s">
        <v>643</v>
      </c>
      <c r="N274" s="233" t="s">
        <v>636</v>
      </c>
      <c r="O274" s="233" t="s">
        <v>604</v>
      </c>
      <c r="P274" s="233" t="s">
        <v>644</v>
      </c>
      <c r="Q274" s="233"/>
      <c r="R274" s="233" t="s">
        <v>149</v>
      </c>
      <c r="S274" s="248" t="s">
        <v>645</v>
      </c>
      <c r="T274" s="233" t="s">
        <v>646</v>
      </c>
      <c r="U274" s="233"/>
      <c r="V274" s="233" t="s">
        <v>647</v>
      </c>
      <c r="W274" s="233" t="s">
        <v>648</v>
      </c>
    </row>
    <row r="275" spans="2:23">
      <c r="B275" s="231">
        <v>25</v>
      </c>
      <c r="C275" s="231">
        <v>19</v>
      </c>
      <c r="D275" s="231">
        <v>450</v>
      </c>
      <c r="E275" t="s">
        <v>962</v>
      </c>
      <c r="F275" t="s">
        <v>911</v>
      </c>
      <c r="G275" s="232" t="s">
        <v>649</v>
      </c>
      <c r="H275" s="231" t="s">
        <v>489</v>
      </c>
      <c r="I275" s="231"/>
      <c r="J275" s="231">
        <v>19</v>
      </c>
      <c r="K275" s="233" t="s">
        <v>189</v>
      </c>
      <c r="L275" s="233" t="s">
        <v>650</v>
      </c>
      <c r="M275" s="233" t="s">
        <v>182</v>
      </c>
      <c r="N275" s="233" t="s">
        <v>174</v>
      </c>
      <c r="O275" s="233" t="s">
        <v>75</v>
      </c>
      <c r="P275" s="233" t="s">
        <v>555</v>
      </c>
      <c r="Q275" s="233"/>
      <c r="R275" s="233" t="s">
        <v>651</v>
      </c>
      <c r="S275" s="248" t="s">
        <v>652</v>
      </c>
      <c r="T275" s="233" t="s">
        <v>653</v>
      </c>
      <c r="U275" s="233"/>
      <c r="V275" s="233" t="s">
        <v>654</v>
      </c>
      <c r="W275" s="233" t="s">
        <v>648</v>
      </c>
    </row>
    <row r="276" spans="2:23">
      <c r="B276" s="231">
        <v>26</v>
      </c>
      <c r="C276" s="231">
        <v>20</v>
      </c>
      <c r="D276" s="231">
        <v>459</v>
      </c>
      <c r="E276" t="s">
        <v>963</v>
      </c>
      <c r="F276" t="s">
        <v>911</v>
      </c>
      <c r="G276" s="232" t="s">
        <v>655</v>
      </c>
      <c r="H276" s="231" t="s">
        <v>489</v>
      </c>
      <c r="I276" s="231"/>
      <c r="J276" s="231">
        <v>20</v>
      </c>
      <c r="K276" s="233" t="s">
        <v>656</v>
      </c>
      <c r="L276" s="233" t="s">
        <v>240</v>
      </c>
      <c r="M276" s="233" t="s">
        <v>544</v>
      </c>
      <c r="N276" s="233" t="s">
        <v>207</v>
      </c>
      <c r="O276" s="233" t="s">
        <v>175</v>
      </c>
      <c r="P276" s="233" t="s">
        <v>595</v>
      </c>
      <c r="Q276" s="233"/>
      <c r="R276" s="233" t="s">
        <v>657</v>
      </c>
      <c r="S276" s="248" t="s">
        <v>658</v>
      </c>
      <c r="T276" s="233" t="s">
        <v>659</v>
      </c>
      <c r="U276" s="233"/>
      <c r="V276" s="233" t="s">
        <v>654</v>
      </c>
      <c r="W276" s="233" t="s">
        <v>648</v>
      </c>
    </row>
    <row r="277" spans="2:23">
      <c r="B277" s="231">
        <v>27</v>
      </c>
      <c r="C277" s="231">
        <v>21</v>
      </c>
      <c r="D277" s="231">
        <v>409</v>
      </c>
      <c r="E277" t="s">
        <v>964</v>
      </c>
      <c r="F277" t="s">
        <v>911</v>
      </c>
      <c r="G277" s="232"/>
      <c r="H277" s="231" t="s">
        <v>489</v>
      </c>
      <c r="I277" s="231"/>
      <c r="J277" s="231">
        <v>21</v>
      </c>
      <c r="K277" s="233" t="s">
        <v>660</v>
      </c>
      <c r="L277" s="233" t="s">
        <v>226</v>
      </c>
      <c r="M277" s="233" t="s">
        <v>132</v>
      </c>
      <c r="N277" s="233" t="s">
        <v>643</v>
      </c>
      <c r="O277" s="233" t="s">
        <v>661</v>
      </c>
      <c r="P277" s="233" t="s">
        <v>519</v>
      </c>
      <c r="Q277" s="233"/>
      <c r="R277" s="233" t="s">
        <v>167</v>
      </c>
      <c r="S277" s="248" t="s">
        <v>662</v>
      </c>
      <c r="T277" s="233" t="s">
        <v>663</v>
      </c>
      <c r="U277" s="233"/>
      <c r="V277" s="233" t="s">
        <v>654</v>
      </c>
      <c r="W277" s="233" t="s">
        <v>648</v>
      </c>
    </row>
    <row r="278" spans="2:23">
      <c r="B278" s="231">
        <v>28</v>
      </c>
      <c r="C278" s="231">
        <v>22</v>
      </c>
      <c r="D278" s="231">
        <v>415</v>
      </c>
      <c r="E278" t="s">
        <v>965</v>
      </c>
      <c r="F278" t="s">
        <v>911</v>
      </c>
      <c r="G278" s="232"/>
      <c r="H278" s="231" t="s">
        <v>489</v>
      </c>
      <c r="I278" s="231"/>
      <c r="J278" s="231">
        <v>22</v>
      </c>
      <c r="K278" s="233" t="s">
        <v>664</v>
      </c>
      <c r="L278" s="233" t="s">
        <v>251</v>
      </c>
      <c r="M278" s="233" t="s">
        <v>110</v>
      </c>
      <c r="N278" s="233" t="s">
        <v>124</v>
      </c>
      <c r="O278" s="233" t="s">
        <v>665</v>
      </c>
      <c r="P278" s="233" t="s">
        <v>666</v>
      </c>
      <c r="Q278" s="233"/>
      <c r="R278" s="233" t="s">
        <v>96</v>
      </c>
      <c r="S278" s="248" t="s">
        <v>667</v>
      </c>
      <c r="T278" s="233" t="s">
        <v>668</v>
      </c>
      <c r="U278" s="233"/>
      <c r="V278" s="233" t="s">
        <v>669</v>
      </c>
      <c r="W278" s="233" t="s">
        <v>670</v>
      </c>
    </row>
    <row r="279" spans="2:23">
      <c r="B279" s="231">
        <v>29</v>
      </c>
      <c r="C279" s="231">
        <v>23</v>
      </c>
      <c r="D279" s="231">
        <v>407</v>
      </c>
      <c r="E279" t="s">
        <v>966</v>
      </c>
      <c r="F279" t="s">
        <v>911</v>
      </c>
      <c r="G279" s="232" t="s">
        <v>671</v>
      </c>
      <c r="H279" s="231" t="s">
        <v>489</v>
      </c>
      <c r="I279" s="231"/>
      <c r="J279" s="231">
        <v>23</v>
      </c>
      <c r="K279" s="233" t="s">
        <v>672</v>
      </c>
      <c r="L279" s="233" t="s">
        <v>123</v>
      </c>
      <c r="M279" s="233" t="s">
        <v>673</v>
      </c>
      <c r="N279" s="233" t="s">
        <v>29</v>
      </c>
      <c r="O279" s="233" t="s">
        <v>674</v>
      </c>
      <c r="P279" s="233" t="s">
        <v>158</v>
      </c>
      <c r="Q279" s="233"/>
      <c r="R279" s="233" t="s">
        <v>233</v>
      </c>
      <c r="S279" s="248" t="s">
        <v>675</v>
      </c>
      <c r="T279" s="233" t="s">
        <v>676</v>
      </c>
      <c r="U279" s="233"/>
      <c r="V279" s="233" t="s">
        <v>677</v>
      </c>
      <c r="W279" s="233" t="s">
        <v>670</v>
      </c>
    </row>
    <row r="280" spans="2:23">
      <c r="B280" s="231">
        <v>30</v>
      </c>
      <c r="C280" s="231">
        <v>24</v>
      </c>
      <c r="D280" s="231">
        <v>437</v>
      </c>
      <c r="E280" t="s">
        <v>967</v>
      </c>
      <c r="F280" t="s">
        <v>911</v>
      </c>
      <c r="G280" s="232" t="s">
        <v>678</v>
      </c>
      <c r="H280" s="231" t="s">
        <v>489</v>
      </c>
      <c r="I280" s="231"/>
      <c r="J280" s="231">
        <v>24</v>
      </c>
      <c r="K280" s="233" t="s">
        <v>599</v>
      </c>
      <c r="L280" s="233" t="s">
        <v>679</v>
      </c>
      <c r="M280" s="233" t="s">
        <v>680</v>
      </c>
      <c r="N280" s="233" t="s">
        <v>681</v>
      </c>
      <c r="O280" s="233" t="s">
        <v>216</v>
      </c>
      <c r="P280" s="233" t="s">
        <v>73</v>
      </c>
      <c r="Q280" s="233"/>
      <c r="R280" s="233" t="s">
        <v>167</v>
      </c>
      <c r="S280" s="248" t="s">
        <v>682</v>
      </c>
      <c r="T280" s="233" t="s">
        <v>683</v>
      </c>
      <c r="U280" s="233"/>
      <c r="V280" s="233" t="s">
        <v>684</v>
      </c>
      <c r="W280" s="233" t="s">
        <v>685</v>
      </c>
    </row>
    <row r="281" spans="2:23">
      <c r="B281" s="231">
        <v>31</v>
      </c>
      <c r="C281" s="231">
        <v>25</v>
      </c>
      <c r="D281" s="231">
        <v>417</v>
      </c>
      <c r="E281" t="s">
        <v>968</v>
      </c>
      <c r="F281" t="s">
        <v>911</v>
      </c>
      <c r="G281" s="232" t="s">
        <v>380</v>
      </c>
      <c r="H281" s="231" t="s">
        <v>489</v>
      </c>
      <c r="I281" s="231"/>
      <c r="J281" s="231">
        <v>25</v>
      </c>
      <c r="K281" s="233" t="s">
        <v>152</v>
      </c>
      <c r="L281" s="233" t="s">
        <v>604</v>
      </c>
      <c r="M281" s="233" t="s">
        <v>562</v>
      </c>
      <c r="N281" s="233" t="s">
        <v>686</v>
      </c>
      <c r="O281" s="233" t="s">
        <v>223</v>
      </c>
      <c r="P281" s="233" t="s">
        <v>687</v>
      </c>
      <c r="Q281" s="233"/>
      <c r="R281" s="233" t="s">
        <v>251</v>
      </c>
      <c r="S281" s="248" t="s">
        <v>688</v>
      </c>
      <c r="T281" s="233" t="s">
        <v>689</v>
      </c>
      <c r="U281" s="233"/>
      <c r="V281" s="233" t="s">
        <v>684</v>
      </c>
      <c r="W281" s="233" t="s">
        <v>685</v>
      </c>
    </row>
    <row r="282" spans="2:23">
      <c r="B282" s="231">
        <v>32</v>
      </c>
      <c r="C282" s="231">
        <v>26</v>
      </c>
      <c r="D282" s="231">
        <v>441</v>
      </c>
      <c r="E282" t="s">
        <v>969</v>
      </c>
      <c r="F282" t="s">
        <v>911</v>
      </c>
      <c r="G282" s="232" t="s">
        <v>690</v>
      </c>
      <c r="H282" s="231" t="s">
        <v>489</v>
      </c>
      <c r="I282" s="231"/>
      <c r="J282" s="231">
        <v>26</v>
      </c>
      <c r="K282" s="233" t="s">
        <v>240</v>
      </c>
      <c r="L282" s="233" t="s">
        <v>132</v>
      </c>
      <c r="M282" s="233" t="s">
        <v>88</v>
      </c>
      <c r="N282" s="233" t="s">
        <v>114</v>
      </c>
      <c r="O282" s="233" t="s">
        <v>691</v>
      </c>
      <c r="P282" s="233" t="s">
        <v>191</v>
      </c>
      <c r="Q282" s="233"/>
      <c r="R282" s="233" t="s">
        <v>635</v>
      </c>
      <c r="S282" s="248" t="s">
        <v>688</v>
      </c>
      <c r="T282" s="233" t="s">
        <v>689</v>
      </c>
      <c r="U282" s="233"/>
      <c r="V282" s="233" t="s">
        <v>684</v>
      </c>
      <c r="W282" s="233" t="s">
        <v>685</v>
      </c>
    </row>
    <row r="283" spans="2:23">
      <c r="B283" s="231">
        <v>33</v>
      </c>
      <c r="C283" s="231">
        <v>27</v>
      </c>
      <c r="D283" s="231">
        <v>438</v>
      </c>
      <c r="E283" t="s">
        <v>970</v>
      </c>
      <c r="F283" t="s">
        <v>911</v>
      </c>
      <c r="G283" s="232"/>
      <c r="H283" s="231" t="s">
        <v>489</v>
      </c>
      <c r="I283" s="231"/>
      <c r="J283" s="231">
        <v>27</v>
      </c>
      <c r="K283" s="233" t="s">
        <v>681</v>
      </c>
      <c r="L283" s="233" t="s">
        <v>692</v>
      </c>
      <c r="M283" s="233" t="s">
        <v>181</v>
      </c>
      <c r="N283" s="233" t="s">
        <v>693</v>
      </c>
      <c r="O283" s="233" t="s">
        <v>694</v>
      </c>
      <c r="P283" s="233" t="s">
        <v>569</v>
      </c>
      <c r="Q283" s="233"/>
      <c r="R283" s="233" t="s">
        <v>129</v>
      </c>
      <c r="S283" s="248" t="s">
        <v>695</v>
      </c>
      <c r="T283" s="233" t="s">
        <v>696</v>
      </c>
      <c r="U283" s="233"/>
      <c r="V283" s="233" t="s">
        <v>697</v>
      </c>
      <c r="W283" s="233" t="s">
        <v>698</v>
      </c>
    </row>
    <row r="284" spans="2:23">
      <c r="B284" s="231">
        <v>34</v>
      </c>
      <c r="C284" s="231">
        <v>28</v>
      </c>
      <c r="D284" s="231">
        <v>427</v>
      </c>
      <c r="E284" t="s">
        <v>971</v>
      </c>
      <c r="F284" t="s">
        <v>911</v>
      </c>
      <c r="G284" s="232" t="s">
        <v>699</v>
      </c>
      <c r="H284" s="231" t="s">
        <v>489</v>
      </c>
      <c r="I284" s="231"/>
      <c r="J284" s="231">
        <v>28</v>
      </c>
      <c r="K284" s="233" t="s">
        <v>700</v>
      </c>
      <c r="L284" s="233" t="s">
        <v>60</v>
      </c>
      <c r="M284" s="233" t="s">
        <v>210</v>
      </c>
      <c r="N284" s="233" t="s">
        <v>104</v>
      </c>
      <c r="O284" s="233" t="s">
        <v>701</v>
      </c>
      <c r="P284" s="233" t="s">
        <v>702</v>
      </c>
      <c r="Q284" s="233"/>
      <c r="R284" s="233" t="s">
        <v>595</v>
      </c>
      <c r="S284" s="248" t="s">
        <v>703</v>
      </c>
      <c r="T284" s="233" t="s">
        <v>704</v>
      </c>
      <c r="U284" s="233"/>
      <c r="V284" s="233" t="s">
        <v>705</v>
      </c>
      <c r="W284" s="233" t="s">
        <v>698</v>
      </c>
    </row>
    <row r="285" spans="2:23">
      <c r="B285" s="231">
        <v>35</v>
      </c>
      <c r="C285" s="231">
        <v>29</v>
      </c>
      <c r="D285" s="231">
        <v>432</v>
      </c>
      <c r="E285" t="s">
        <v>972</v>
      </c>
      <c r="F285" t="s">
        <v>911</v>
      </c>
      <c r="G285" s="232"/>
      <c r="H285" s="231" t="s">
        <v>489</v>
      </c>
      <c r="I285" s="231"/>
      <c r="J285" s="231">
        <v>29</v>
      </c>
      <c r="K285" s="233" t="s">
        <v>628</v>
      </c>
      <c r="L285" s="233" t="s">
        <v>261</v>
      </c>
      <c r="M285" s="233" t="s">
        <v>706</v>
      </c>
      <c r="N285" s="233" t="s">
        <v>707</v>
      </c>
      <c r="O285" s="233" t="s">
        <v>608</v>
      </c>
      <c r="P285" s="233" t="s">
        <v>708</v>
      </c>
      <c r="Q285" s="233"/>
      <c r="R285" s="233" t="s">
        <v>709</v>
      </c>
      <c r="S285" s="248" t="s">
        <v>710</v>
      </c>
      <c r="T285" s="233" t="s">
        <v>711</v>
      </c>
      <c r="U285" s="233"/>
      <c r="V285" s="233" t="s">
        <v>705</v>
      </c>
      <c r="W285" s="233" t="s">
        <v>712</v>
      </c>
    </row>
    <row r="286" spans="2:23">
      <c r="B286" s="231">
        <v>36</v>
      </c>
      <c r="C286" s="231">
        <v>30</v>
      </c>
      <c r="D286" s="231">
        <v>457</v>
      </c>
      <c r="E286" t="s">
        <v>973</v>
      </c>
      <c r="F286" t="s">
        <v>911</v>
      </c>
      <c r="G286" s="232" t="s">
        <v>713</v>
      </c>
      <c r="H286" s="231" t="s">
        <v>489</v>
      </c>
      <c r="I286" s="231"/>
      <c r="J286" s="231">
        <v>30</v>
      </c>
      <c r="K286" s="233" t="s">
        <v>113</v>
      </c>
      <c r="L286" s="233" t="s">
        <v>215</v>
      </c>
      <c r="M286" s="233" t="s">
        <v>209</v>
      </c>
      <c r="N286" s="233" t="s">
        <v>86</v>
      </c>
      <c r="O286" s="233" t="s">
        <v>714</v>
      </c>
      <c r="P286" s="233" t="s">
        <v>715</v>
      </c>
      <c r="Q286" s="233"/>
      <c r="R286" s="233" t="s">
        <v>582</v>
      </c>
      <c r="S286" s="248" t="s">
        <v>716</v>
      </c>
      <c r="T286" s="233" t="s">
        <v>717</v>
      </c>
      <c r="U286" s="233"/>
      <c r="V286" s="233" t="s">
        <v>718</v>
      </c>
      <c r="W286" s="233" t="s">
        <v>712</v>
      </c>
    </row>
    <row r="287" spans="2:23">
      <c r="B287" s="231">
        <v>37</v>
      </c>
      <c r="C287" s="231">
        <v>31</v>
      </c>
      <c r="D287" s="231">
        <v>401</v>
      </c>
      <c r="E287" t="s">
        <v>974</v>
      </c>
      <c r="F287" t="s">
        <v>911</v>
      </c>
      <c r="G287" s="232" t="s">
        <v>171</v>
      </c>
      <c r="H287" s="231" t="s">
        <v>489</v>
      </c>
      <c r="I287" s="231"/>
      <c r="J287" s="231">
        <v>31</v>
      </c>
      <c r="K287" s="233" t="s">
        <v>140</v>
      </c>
      <c r="L287" s="233" t="s">
        <v>160</v>
      </c>
      <c r="M287" s="233" t="s">
        <v>173</v>
      </c>
      <c r="N287" s="233" t="s">
        <v>124</v>
      </c>
      <c r="O287" s="233" t="s">
        <v>719</v>
      </c>
      <c r="P287" s="233" t="s">
        <v>221</v>
      </c>
      <c r="Q287" s="233"/>
      <c r="R287" s="233" t="s">
        <v>110</v>
      </c>
      <c r="S287" s="248" t="s">
        <v>720</v>
      </c>
      <c r="T287" s="233" t="s">
        <v>721</v>
      </c>
      <c r="U287" s="233"/>
      <c r="V287" s="233" t="s">
        <v>722</v>
      </c>
      <c r="W287" s="233" t="s">
        <v>712</v>
      </c>
    </row>
    <row r="288" spans="2:23">
      <c r="B288" s="231">
        <v>38</v>
      </c>
      <c r="C288" s="231">
        <v>32</v>
      </c>
      <c r="D288" s="231">
        <v>444</v>
      </c>
      <c r="E288" t="s">
        <v>975</v>
      </c>
      <c r="F288" t="s">
        <v>911</v>
      </c>
      <c r="G288" s="232" t="s">
        <v>383</v>
      </c>
      <c r="H288" s="231" t="s">
        <v>489</v>
      </c>
      <c r="I288" s="231"/>
      <c r="J288" s="231">
        <v>32</v>
      </c>
      <c r="K288" s="233" t="s">
        <v>66</v>
      </c>
      <c r="L288" s="233" t="s">
        <v>723</v>
      </c>
      <c r="M288" s="233" t="s">
        <v>724</v>
      </c>
      <c r="N288" s="233" t="s">
        <v>725</v>
      </c>
      <c r="O288" s="233" t="s">
        <v>152</v>
      </c>
      <c r="P288" s="233" t="s">
        <v>726</v>
      </c>
      <c r="Q288" s="233"/>
      <c r="R288" s="233" t="s">
        <v>208</v>
      </c>
      <c r="S288" s="248" t="s">
        <v>727</v>
      </c>
      <c r="T288" s="233" t="s">
        <v>728</v>
      </c>
      <c r="U288" s="233"/>
      <c r="V288" s="233" t="s">
        <v>722</v>
      </c>
      <c r="W288" s="233" t="s">
        <v>712</v>
      </c>
    </row>
    <row r="289" spans="2:23">
      <c r="B289" s="231">
        <v>39</v>
      </c>
      <c r="C289" s="231">
        <v>33</v>
      </c>
      <c r="D289" s="231">
        <v>455</v>
      </c>
      <c r="E289" t="s">
        <v>976</v>
      </c>
      <c r="F289" t="s">
        <v>911</v>
      </c>
      <c r="G289" s="232" t="s">
        <v>729</v>
      </c>
      <c r="H289" s="231" t="s">
        <v>489</v>
      </c>
      <c r="I289" s="231"/>
      <c r="J289" s="231">
        <v>33</v>
      </c>
      <c r="K289" s="233" t="s">
        <v>197</v>
      </c>
      <c r="L289" s="233" t="s">
        <v>66</v>
      </c>
      <c r="M289" s="233" t="s">
        <v>730</v>
      </c>
      <c r="N289" s="233" t="s">
        <v>731</v>
      </c>
      <c r="O289" s="233" t="s">
        <v>732</v>
      </c>
      <c r="P289" s="233" t="s">
        <v>232</v>
      </c>
      <c r="Q289" s="233"/>
      <c r="R289" s="233" t="s">
        <v>175</v>
      </c>
      <c r="S289" s="248" t="s">
        <v>733</v>
      </c>
      <c r="T289" s="233" t="s">
        <v>734</v>
      </c>
      <c r="U289" s="233"/>
      <c r="V289" s="233" t="s">
        <v>735</v>
      </c>
      <c r="W289" s="233" t="s">
        <v>736</v>
      </c>
    </row>
    <row r="290" spans="2:23">
      <c r="B290" s="231">
        <v>40</v>
      </c>
      <c r="C290" s="231">
        <v>34</v>
      </c>
      <c r="D290" s="231">
        <v>404</v>
      </c>
      <c r="E290" t="s">
        <v>977</v>
      </c>
      <c r="F290" t="s">
        <v>911</v>
      </c>
      <c r="G290" s="232" t="s">
        <v>737</v>
      </c>
      <c r="H290" s="231" t="s">
        <v>489</v>
      </c>
      <c r="I290" s="231"/>
      <c r="J290" s="231">
        <v>34</v>
      </c>
      <c r="K290" s="233" t="s">
        <v>66</v>
      </c>
      <c r="L290" s="233" t="s">
        <v>738</v>
      </c>
      <c r="M290" s="233" t="s">
        <v>719</v>
      </c>
      <c r="N290" s="233" t="s">
        <v>739</v>
      </c>
      <c r="O290" s="233" t="s">
        <v>679</v>
      </c>
      <c r="P290" s="233" t="s">
        <v>211</v>
      </c>
      <c r="Q290" s="233"/>
      <c r="R290" s="233" t="s">
        <v>521</v>
      </c>
      <c r="S290" s="248" t="s">
        <v>740</v>
      </c>
      <c r="T290" s="233" t="s">
        <v>741</v>
      </c>
      <c r="U290" s="233"/>
      <c r="V290" s="233" t="s">
        <v>742</v>
      </c>
      <c r="W290" s="233" t="s">
        <v>736</v>
      </c>
    </row>
    <row r="291" spans="2:23">
      <c r="B291" s="231">
        <v>41</v>
      </c>
      <c r="C291" s="231">
        <v>35</v>
      </c>
      <c r="D291" s="231">
        <v>431</v>
      </c>
      <c r="E291" t="s">
        <v>978</v>
      </c>
      <c r="F291" t="s">
        <v>911</v>
      </c>
      <c r="G291" s="232" t="s">
        <v>743</v>
      </c>
      <c r="H291" s="231" t="s">
        <v>489</v>
      </c>
      <c r="I291" s="231"/>
      <c r="J291" s="231">
        <v>35</v>
      </c>
      <c r="K291" s="233" t="s">
        <v>184</v>
      </c>
      <c r="L291" s="233" t="s">
        <v>719</v>
      </c>
      <c r="M291" s="233" t="s">
        <v>744</v>
      </c>
      <c r="N291" s="233" t="s">
        <v>745</v>
      </c>
      <c r="O291" s="233" t="s">
        <v>746</v>
      </c>
      <c r="P291" s="233" t="s">
        <v>246</v>
      </c>
      <c r="Q291" s="233"/>
      <c r="R291" s="233" t="s">
        <v>138</v>
      </c>
      <c r="S291" s="248" t="s">
        <v>747</v>
      </c>
      <c r="T291" s="233" t="s">
        <v>748</v>
      </c>
      <c r="U291" s="233"/>
      <c r="V291" s="233" t="s">
        <v>742</v>
      </c>
      <c r="W291" s="233" t="s">
        <v>736</v>
      </c>
    </row>
    <row r="292" spans="2:23">
      <c r="B292" s="231">
        <v>42</v>
      </c>
      <c r="C292" s="231">
        <v>36</v>
      </c>
      <c r="D292" s="231">
        <v>428</v>
      </c>
      <c r="E292" t="s">
        <v>979</v>
      </c>
      <c r="F292" t="s">
        <v>911</v>
      </c>
      <c r="G292" s="232" t="s">
        <v>749</v>
      </c>
      <c r="H292" s="231" t="s">
        <v>489</v>
      </c>
      <c r="I292" s="231"/>
      <c r="J292" s="231">
        <v>36</v>
      </c>
      <c r="K292" s="233" t="s">
        <v>644</v>
      </c>
      <c r="L292" s="233" t="s">
        <v>719</v>
      </c>
      <c r="M292" s="233" t="s">
        <v>184</v>
      </c>
      <c r="N292" s="233" t="s">
        <v>595</v>
      </c>
      <c r="O292" s="233" t="s">
        <v>750</v>
      </c>
      <c r="P292" s="233" t="s">
        <v>751</v>
      </c>
      <c r="Q292" s="233"/>
      <c r="R292" s="233" t="s">
        <v>215</v>
      </c>
      <c r="S292" s="248" t="s">
        <v>752</v>
      </c>
      <c r="T292" s="233" t="s">
        <v>753</v>
      </c>
      <c r="U292" s="233"/>
      <c r="V292" s="233" t="s">
        <v>754</v>
      </c>
      <c r="W292" s="233" t="s">
        <v>736</v>
      </c>
    </row>
    <row r="293" spans="2:23">
      <c r="B293" s="231">
        <v>43</v>
      </c>
      <c r="C293" s="231">
        <v>37</v>
      </c>
      <c r="D293" s="231">
        <v>433</v>
      </c>
      <c r="E293" t="s">
        <v>980</v>
      </c>
      <c r="F293" t="s">
        <v>911</v>
      </c>
      <c r="G293" s="232"/>
      <c r="H293" s="231" t="s">
        <v>489</v>
      </c>
      <c r="I293" s="231"/>
      <c r="J293" s="231">
        <v>37</v>
      </c>
      <c r="K293" s="233" t="s">
        <v>76</v>
      </c>
      <c r="L293" s="233" t="s">
        <v>130</v>
      </c>
      <c r="M293" s="233" t="s">
        <v>707</v>
      </c>
      <c r="N293" s="233" t="s">
        <v>139</v>
      </c>
      <c r="O293" s="233" t="s">
        <v>165</v>
      </c>
      <c r="P293" s="233" t="s">
        <v>755</v>
      </c>
      <c r="Q293" s="233"/>
      <c r="R293" s="233" t="s">
        <v>756</v>
      </c>
      <c r="S293" s="248" t="s">
        <v>757</v>
      </c>
      <c r="T293" s="233" t="s">
        <v>758</v>
      </c>
      <c r="U293" s="233"/>
      <c r="V293" s="233" t="s">
        <v>759</v>
      </c>
      <c r="W293" s="233" t="s">
        <v>760</v>
      </c>
    </row>
    <row r="294" spans="2:23">
      <c r="B294" s="231">
        <v>44</v>
      </c>
      <c r="C294" s="231">
        <v>38</v>
      </c>
      <c r="D294" s="231">
        <v>461</v>
      </c>
      <c r="E294" t="s">
        <v>981</v>
      </c>
      <c r="F294" t="s">
        <v>911</v>
      </c>
      <c r="G294" s="232" t="s">
        <v>761</v>
      </c>
      <c r="H294" s="231" t="s">
        <v>489</v>
      </c>
      <c r="I294" s="231"/>
      <c r="J294" s="231">
        <v>38</v>
      </c>
      <c r="K294" s="233" t="s">
        <v>590</v>
      </c>
      <c r="L294" s="233" t="s">
        <v>590</v>
      </c>
      <c r="M294" s="233" t="s">
        <v>581</v>
      </c>
      <c r="N294" s="233" t="s">
        <v>762</v>
      </c>
      <c r="O294" s="233" t="s">
        <v>763</v>
      </c>
      <c r="P294" s="233" t="s">
        <v>200</v>
      </c>
      <c r="Q294" s="233"/>
      <c r="R294" s="233" t="s">
        <v>519</v>
      </c>
      <c r="S294" s="248" t="s">
        <v>764</v>
      </c>
      <c r="T294" s="233" t="s">
        <v>765</v>
      </c>
      <c r="U294" s="233"/>
      <c r="V294" s="233" t="s">
        <v>766</v>
      </c>
      <c r="W294" s="233" t="s">
        <v>767</v>
      </c>
    </row>
    <row r="295" spans="2:23">
      <c r="B295" s="231">
        <v>45</v>
      </c>
      <c r="C295" s="231">
        <v>39</v>
      </c>
      <c r="D295" s="231">
        <v>418</v>
      </c>
      <c r="E295" t="s">
        <v>982</v>
      </c>
      <c r="F295" t="s">
        <v>911</v>
      </c>
      <c r="G295" s="239" t="s">
        <v>386</v>
      </c>
      <c r="H295" s="231" t="s">
        <v>489</v>
      </c>
      <c r="I295" s="231"/>
      <c r="J295" s="231">
        <v>39</v>
      </c>
      <c r="K295" s="233" t="s">
        <v>763</v>
      </c>
      <c r="L295" s="233" t="s">
        <v>768</v>
      </c>
      <c r="M295" s="233" t="s">
        <v>769</v>
      </c>
      <c r="N295" s="233" t="s">
        <v>770</v>
      </c>
      <c r="O295" s="233" t="s">
        <v>174</v>
      </c>
      <c r="P295" s="233" t="s">
        <v>771</v>
      </c>
      <c r="Q295" s="233"/>
      <c r="R295" s="233" t="s">
        <v>85</v>
      </c>
      <c r="S295" s="248" t="s">
        <v>772</v>
      </c>
      <c r="T295" s="233" t="s">
        <v>773</v>
      </c>
      <c r="U295" s="233"/>
      <c r="V295" s="233" t="s">
        <v>774</v>
      </c>
      <c r="W295" s="233" t="s">
        <v>775</v>
      </c>
    </row>
    <row r="296" spans="2:23">
      <c r="B296" s="231">
        <v>46</v>
      </c>
      <c r="C296" s="231">
        <v>40</v>
      </c>
      <c r="D296" s="231">
        <v>405</v>
      </c>
      <c r="E296" t="s">
        <v>983</v>
      </c>
      <c r="F296" t="s">
        <v>911</v>
      </c>
      <c r="G296" s="232" t="s">
        <v>776</v>
      </c>
      <c r="H296" s="231" t="s">
        <v>489</v>
      </c>
      <c r="I296" s="231"/>
      <c r="J296" s="231">
        <v>40</v>
      </c>
      <c r="K296" s="233" t="s">
        <v>113</v>
      </c>
      <c r="L296" s="233" t="s">
        <v>615</v>
      </c>
      <c r="M296" s="233" t="s">
        <v>777</v>
      </c>
      <c r="N296" s="233" t="s">
        <v>142</v>
      </c>
      <c r="O296" s="233" t="s">
        <v>215</v>
      </c>
      <c r="P296" s="233" t="s">
        <v>259</v>
      </c>
      <c r="Q296" s="233"/>
      <c r="R296" s="233" t="s">
        <v>778</v>
      </c>
      <c r="S296" s="248" t="s">
        <v>779</v>
      </c>
      <c r="T296" s="233" t="s">
        <v>780</v>
      </c>
      <c r="U296" s="233"/>
      <c r="V296" s="233" t="s">
        <v>781</v>
      </c>
      <c r="W296" s="233" t="s">
        <v>782</v>
      </c>
    </row>
    <row r="297" spans="2:23">
      <c r="B297" s="231">
        <v>47</v>
      </c>
      <c r="C297" s="231">
        <v>41</v>
      </c>
      <c r="D297" s="231">
        <v>410</v>
      </c>
      <c r="E297" t="s">
        <v>984</v>
      </c>
      <c r="F297" t="s">
        <v>911</v>
      </c>
      <c r="G297" s="232"/>
      <c r="H297" s="231" t="s">
        <v>489</v>
      </c>
      <c r="I297" s="231"/>
      <c r="J297" s="231">
        <v>41</v>
      </c>
      <c r="K297" s="233" t="s">
        <v>706</v>
      </c>
      <c r="L297" s="233" t="s">
        <v>783</v>
      </c>
      <c r="M297" s="233" t="s">
        <v>715</v>
      </c>
      <c r="N297" s="233" t="s">
        <v>784</v>
      </c>
      <c r="O297" s="233" t="s">
        <v>57</v>
      </c>
      <c r="P297" s="233" t="s">
        <v>620</v>
      </c>
      <c r="Q297" s="233"/>
      <c r="R297" s="233" t="s">
        <v>635</v>
      </c>
      <c r="S297" s="248" t="s">
        <v>785</v>
      </c>
      <c r="T297" s="233" t="s">
        <v>786</v>
      </c>
      <c r="U297" s="233"/>
      <c r="V297" s="233" t="s">
        <v>787</v>
      </c>
      <c r="W297" s="233" t="s">
        <v>782</v>
      </c>
    </row>
    <row r="298" spans="2:23">
      <c r="B298" s="231">
        <v>48</v>
      </c>
      <c r="C298" s="231">
        <v>42</v>
      </c>
      <c r="D298" s="231">
        <v>408</v>
      </c>
      <c r="E298" t="s">
        <v>985</v>
      </c>
      <c r="F298" t="s">
        <v>911</v>
      </c>
      <c r="G298" s="232" t="s">
        <v>788</v>
      </c>
      <c r="H298" s="231" t="s">
        <v>489</v>
      </c>
      <c r="I298" s="231"/>
      <c r="J298" s="231">
        <v>42</v>
      </c>
      <c r="K298" s="233" t="s">
        <v>691</v>
      </c>
      <c r="L298" s="233" t="s">
        <v>789</v>
      </c>
      <c r="M298" s="233" t="s">
        <v>790</v>
      </c>
      <c r="N298" s="233" t="s">
        <v>581</v>
      </c>
      <c r="O298" s="233" t="s">
        <v>791</v>
      </c>
      <c r="P298" s="233" t="s">
        <v>792</v>
      </c>
      <c r="Q298" s="233"/>
      <c r="R298" s="233" t="s">
        <v>700</v>
      </c>
      <c r="S298" s="248" t="s">
        <v>793</v>
      </c>
      <c r="T298" s="233" t="s">
        <v>794</v>
      </c>
      <c r="U298" s="233"/>
      <c r="V298" s="233" t="s">
        <v>795</v>
      </c>
      <c r="W298" s="233" t="s">
        <v>796</v>
      </c>
    </row>
    <row r="299" spans="2:23">
      <c r="B299" s="231">
        <v>49</v>
      </c>
      <c r="C299" s="231">
        <v>43</v>
      </c>
      <c r="D299" s="231">
        <v>453</v>
      </c>
      <c r="E299" t="s">
        <v>986</v>
      </c>
      <c r="F299" t="s">
        <v>911</v>
      </c>
      <c r="G299" s="232" t="s">
        <v>797</v>
      </c>
      <c r="H299" s="231" t="s">
        <v>489</v>
      </c>
      <c r="I299" s="231"/>
      <c r="J299" s="231">
        <v>43</v>
      </c>
      <c r="K299" s="233" t="s">
        <v>529</v>
      </c>
      <c r="L299" s="233" t="s">
        <v>611</v>
      </c>
      <c r="M299" s="233" t="s">
        <v>222</v>
      </c>
      <c r="N299" s="233" t="s">
        <v>88</v>
      </c>
      <c r="O299" s="233" t="s">
        <v>798</v>
      </c>
      <c r="P299" s="233" t="s">
        <v>799</v>
      </c>
      <c r="Q299" s="233"/>
      <c r="R299" s="233" t="s">
        <v>350</v>
      </c>
      <c r="S299" s="248" t="s">
        <v>800</v>
      </c>
      <c r="T299" s="233" t="s">
        <v>801</v>
      </c>
      <c r="U299" s="233"/>
      <c r="V299" s="233" t="s">
        <v>802</v>
      </c>
      <c r="W299" s="233" t="s">
        <v>796</v>
      </c>
    </row>
    <row r="300" spans="2:23">
      <c r="B300" s="261">
        <v>50</v>
      </c>
      <c r="C300" s="261">
        <v>44</v>
      </c>
      <c r="D300" s="261">
        <v>413</v>
      </c>
      <c r="E300" s="568" t="s">
        <v>987</v>
      </c>
      <c r="F300" s="126" t="s">
        <v>911</v>
      </c>
      <c r="G300" s="262" t="s">
        <v>803</v>
      </c>
      <c r="H300" s="261" t="s">
        <v>489</v>
      </c>
      <c r="I300" s="261"/>
      <c r="J300" s="261">
        <v>44</v>
      </c>
      <c r="K300" s="260" t="s">
        <v>674</v>
      </c>
      <c r="L300" s="260" t="s">
        <v>804</v>
      </c>
      <c r="M300" s="260" t="s">
        <v>581</v>
      </c>
      <c r="N300" s="260" t="s">
        <v>805</v>
      </c>
      <c r="O300" s="260" t="s">
        <v>159</v>
      </c>
      <c r="P300" s="260" t="s">
        <v>806</v>
      </c>
      <c r="Q300" s="260"/>
      <c r="R300" s="260" t="s">
        <v>535</v>
      </c>
      <c r="S300" s="248" t="s">
        <v>807</v>
      </c>
      <c r="T300" s="260" t="s">
        <v>808</v>
      </c>
      <c r="U300" s="260"/>
      <c r="V300" s="260" t="s">
        <v>809</v>
      </c>
      <c r="W300" s="260" t="s">
        <v>810</v>
      </c>
    </row>
    <row r="301" spans="2:23">
      <c r="B301" s="231">
        <v>51</v>
      </c>
      <c r="C301" s="231">
        <v>45</v>
      </c>
      <c r="D301" s="231">
        <v>436</v>
      </c>
      <c r="E301" t="s">
        <v>988</v>
      </c>
      <c r="F301" t="s">
        <v>911</v>
      </c>
      <c r="G301" s="232"/>
      <c r="H301" s="231" t="s">
        <v>489</v>
      </c>
      <c r="I301" s="231"/>
      <c r="J301" s="231">
        <v>45</v>
      </c>
      <c r="K301" s="233" t="s">
        <v>811</v>
      </c>
      <c r="L301" s="233" t="s">
        <v>812</v>
      </c>
      <c r="M301" s="233" t="s">
        <v>813</v>
      </c>
      <c r="N301" s="233" t="s">
        <v>814</v>
      </c>
      <c r="O301" s="233" t="s">
        <v>815</v>
      </c>
      <c r="P301" s="233" t="s">
        <v>816</v>
      </c>
      <c r="Q301" s="233"/>
      <c r="R301" s="233" t="s">
        <v>182</v>
      </c>
      <c r="S301" s="248" t="s">
        <v>817</v>
      </c>
      <c r="T301" s="233" t="s">
        <v>818</v>
      </c>
      <c r="U301" s="233"/>
      <c r="V301" s="233" t="s">
        <v>809</v>
      </c>
      <c r="W301" s="233" t="s">
        <v>810</v>
      </c>
    </row>
    <row r="302" spans="2:23">
      <c r="B302" s="231">
        <v>52</v>
      </c>
      <c r="C302" s="231">
        <v>46</v>
      </c>
      <c r="D302" s="231">
        <v>452</v>
      </c>
      <c r="E302" t="s">
        <v>989</v>
      </c>
      <c r="F302" t="s">
        <v>911</v>
      </c>
      <c r="G302" s="232" t="s">
        <v>819</v>
      </c>
      <c r="H302" s="231" t="s">
        <v>489</v>
      </c>
      <c r="I302" s="231"/>
      <c r="J302" s="231">
        <v>46</v>
      </c>
      <c r="K302" s="233" t="s">
        <v>820</v>
      </c>
      <c r="L302" s="233" t="s">
        <v>821</v>
      </c>
      <c r="M302" s="233" t="s">
        <v>88</v>
      </c>
      <c r="N302" s="233" t="s">
        <v>141</v>
      </c>
      <c r="O302" s="233" t="s">
        <v>822</v>
      </c>
      <c r="P302" s="233" t="s">
        <v>813</v>
      </c>
      <c r="Q302" s="233"/>
      <c r="R302" s="233" t="s">
        <v>823</v>
      </c>
      <c r="S302" s="248" t="s">
        <v>824</v>
      </c>
      <c r="T302" s="233" t="s">
        <v>825</v>
      </c>
      <c r="U302" s="233"/>
      <c r="V302" s="233" t="s">
        <v>826</v>
      </c>
      <c r="W302" s="233" t="s">
        <v>827</v>
      </c>
    </row>
    <row r="303" spans="2:23">
      <c r="B303" s="231">
        <v>53</v>
      </c>
      <c r="C303" s="231">
        <v>47</v>
      </c>
      <c r="D303" s="231">
        <v>421</v>
      </c>
      <c r="E303" t="s">
        <v>990</v>
      </c>
      <c r="F303" t="s">
        <v>911</v>
      </c>
      <c r="G303" s="232" t="s">
        <v>828</v>
      </c>
      <c r="H303" s="231" t="s">
        <v>489</v>
      </c>
      <c r="I303" s="231"/>
      <c r="J303" s="231">
        <v>47</v>
      </c>
      <c r="K303" s="233" t="s">
        <v>254</v>
      </c>
      <c r="L303" s="233" t="s">
        <v>241</v>
      </c>
      <c r="M303" s="233" t="s">
        <v>637</v>
      </c>
      <c r="N303" s="233" t="s">
        <v>829</v>
      </c>
      <c r="O303" s="233" t="s">
        <v>830</v>
      </c>
      <c r="P303" s="233" t="s">
        <v>202</v>
      </c>
      <c r="Q303" s="233"/>
      <c r="R303" s="233" t="s">
        <v>615</v>
      </c>
      <c r="S303" s="248" t="s">
        <v>831</v>
      </c>
      <c r="T303" s="233" t="s">
        <v>832</v>
      </c>
      <c r="U303" s="233"/>
      <c r="V303" s="233" t="s">
        <v>826</v>
      </c>
      <c r="W303" s="233" t="s">
        <v>827</v>
      </c>
    </row>
    <row r="304" spans="2:23">
      <c r="B304" s="231">
        <v>54</v>
      </c>
      <c r="C304" s="231">
        <v>48</v>
      </c>
      <c r="D304" s="231">
        <v>420</v>
      </c>
      <c r="E304" t="s">
        <v>991</v>
      </c>
      <c r="F304" t="s">
        <v>911</v>
      </c>
      <c r="G304" s="232" t="s">
        <v>833</v>
      </c>
      <c r="H304" s="231" t="s">
        <v>489</v>
      </c>
      <c r="I304" s="231"/>
      <c r="J304" s="231">
        <v>48</v>
      </c>
      <c r="K304" s="233" t="s">
        <v>185</v>
      </c>
      <c r="L304" s="233" t="s">
        <v>834</v>
      </c>
      <c r="M304" s="233" t="s">
        <v>835</v>
      </c>
      <c r="N304" s="233" t="s">
        <v>217</v>
      </c>
      <c r="O304" s="233" t="s">
        <v>836</v>
      </c>
      <c r="P304" s="233" t="s">
        <v>192</v>
      </c>
      <c r="Q304" s="233"/>
      <c r="R304" s="233" t="s">
        <v>837</v>
      </c>
      <c r="S304" s="248" t="s">
        <v>838</v>
      </c>
      <c r="T304" s="233" t="s">
        <v>839</v>
      </c>
      <c r="U304" s="233"/>
      <c r="V304" s="233" t="s">
        <v>840</v>
      </c>
      <c r="W304" s="233" t="s">
        <v>827</v>
      </c>
    </row>
    <row r="305" spans="2:23">
      <c r="B305" s="231">
        <v>55</v>
      </c>
      <c r="C305" s="231">
        <v>49</v>
      </c>
      <c r="D305" s="231">
        <v>414</v>
      </c>
      <c r="E305" t="s">
        <v>992</v>
      </c>
      <c r="F305" t="s">
        <v>911</v>
      </c>
      <c r="G305" s="232"/>
      <c r="H305" s="231" t="s">
        <v>489</v>
      </c>
      <c r="I305" s="231"/>
      <c r="J305" s="231">
        <v>49</v>
      </c>
      <c r="K305" s="233" t="s">
        <v>664</v>
      </c>
      <c r="L305" s="233" t="s">
        <v>841</v>
      </c>
      <c r="M305" s="233" t="s">
        <v>176</v>
      </c>
      <c r="N305" s="233" t="s">
        <v>842</v>
      </c>
      <c r="O305" s="233" t="s">
        <v>527</v>
      </c>
      <c r="P305" s="233" t="s">
        <v>843</v>
      </c>
      <c r="Q305" s="233"/>
      <c r="R305" s="233" t="s">
        <v>217</v>
      </c>
      <c r="S305" s="248" t="s">
        <v>844</v>
      </c>
      <c r="T305" s="233" t="s">
        <v>845</v>
      </c>
      <c r="U305" s="233"/>
      <c r="V305" s="233" t="s">
        <v>846</v>
      </c>
      <c r="W305" s="233" t="s">
        <v>847</v>
      </c>
    </row>
    <row r="306" spans="2:23">
      <c r="B306" s="231">
        <v>56</v>
      </c>
      <c r="C306" s="231">
        <v>7</v>
      </c>
      <c r="D306" s="231">
        <v>505</v>
      </c>
      <c r="E306" t="s">
        <v>993</v>
      </c>
      <c r="F306" t="s">
        <v>911</v>
      </c>
      <c r="G306" s="232" t="s">
        <v>580</v>
      </c>
      <c r="H306" s="231" t="s">
        <v>518</v>
      </c>
      <c r="I306" s="231"/>
      <c r="J306" s="231">
        <v>7</v>
      </c>
      <c r="K306" s="233" t="s">
        <v>848</v>
      </c>
      <c r="L306" s="233" t="s">
        <v>849</v>
      </c>
      <c r="M306" s="233" t="s">
        <v>668</v>
      </c>
      <c r="N306" s="233" t="s">
        <v>261</v>
      </c>
      <c r="O306" s="233" t="s">
        <v>665</v>
      </c>
      <c r="P306" s="233" t="s">
        <v>850</v>
      </c>
      <c r="Q306" s="233"/>
      <c r="R306" s="233" t="s">
        <v>851</v>
      </c>
      <c r="S306" s="248" t="s">
        <v>852</v>
      </c>
      <c r="T306" s="233" t="s">
        <v>853</v>
      </c>
      <c r="U306" s="233"/>
      <c r="V306" s="233" t="s">
        <v>854</v>
      </c>
      <c r="W306" s="233" t="s">
        <v>855</v>
      </c>
    </row>
    <row r="307" spans="2:23">
      <c r="B307" s="245">
        <v>57</v>
      </c>
      <c r="C307" s="245">
        <v>50</v>
      </c>
      <c r="D307" s="245">
        <v>434</v>
      </c>
      <c r="E307" s="561" t="s">
        <v>912</v>
      </c>
      <c r="F307" s="244" t="s">
        <v>911</v>
      </c>
      <c r="G307" s="561" t="s">
        <v>127</v>
      </c>
      <c r="H307" s="245" t="s">
        <v>489</v>
      </c>
      <c r="I307" s="245"/>
      <c r="J307" s="245">
        <v>50</v>
      </c>
      <c r="K307" s="247" t="s">
        <v>856</v>
      </c>
      <c r="L307" s="247" t="s">
        <v>646</v>
      </c>
      <c r="M307" s="247" t="s">
        <v>829</v>
      </c>
      <c r="N307" s="247" t="s">
        <v>665</v>
      </c>
      <c r="O307" s="247" t="s">
        <v>857</v>
      </c>
      <c r="P307" s="567" t="s">
        <v>200</v>
      </c>
      <c r="Q307" s="567"/>
      <c r="R307" s="247" t="s">
        <v>661</v>
      </c>
      <c r="S307" s="248" t="s">
        <v>858</v>
      </c>
      <c r="T307" s="247" t="s">
        <v>859</v>
      </c>
      <c r="U307" s="247"/>
      <c r="V307" s="247" t="s">
        <v>524</v>
      </c>
      <c r="W307" s="247" t="s">
        <v>855</v>
      </c>
    </row>
    <row r="308" spans="2:23">
      <c r="B308" s="231">
        <v>58</v>
      </c>
      <c r="C308" s="231">
        <v>51</v>
      </c>
      <c r="D308" s="231">
        <v>423</v>
      </c>
      <c r="E308" t="s">
        <v>994</v>
      </c>
      <c r="F308" t="s">
        <v>911</v>
      </c>
      <c r="G308" s="232" t="s">
        <v>860</v>
      </c>
      <c r="H308" s="231" t="s">
        <v>489</v>
      </c>
      <c r="I308" s="231"/>
      <c r="J308" s="231">
        <v>51</v>
      </c>
      <c r="K308" s="233" t="s">
        <v>191</v>
      </c>
      <c r="L308" s="233" t="s">
        <v>702</v>
      </c>
      <c r="M308" s="233" t="s">
        <v>784</v>
      </c>
      <c r="N308" s="233" t="s">
        <v>769</v>
      </c>
      <c r="O308" s="233" t="s">
        <v>861</v>
      </c>
      <c r="P308" s="233" t="s">
        <v>862</v>
      </c>
      <c r="Q308" s="233"/>
      <c r="R308" s="233" t="s">
        <v>863</v>
      </c>
      <c r="S308" s="248" t="s">
        <v>864</v>
      </c>
      <c r="T308" s="233" t="s">
        <v>865</v>
      </c>
      <c r="U308" s="233"/>
      <c r="V308" s="233" t="s">
        <v>866</v>
      </c>
      <c r="W308" s="233" t="s">
        <v>867</v>
      </c>
    </row>
    <row r="309" spans="2:23">
      <c r="B309" s="231">
        <v>59</v>
      </c>
      <c r="C309" s="231">
        <v>52</v>
      </c>
      <c r="D309" s="231">
        <v>426</v>
      </c>
      <c r="E309" t="s">
        <v>995</v>
      </c>
      <c r="F309" t="s">
        <v>911</v>
      </c>
      <c r="G309" s="232" t="s">
        <v>868</v>
      </c>
      <c r="H309" s="231" t="s">
        <v>489</v>
      </c>
      <c r="I309" s="231"/>
      <c r="J309" s="231">
        <v>52</v>
      </c>
      <c r="K309" s="233" t="s">
        <v>869</v>
      </c>
      <c r="L309" s="233" t="s">
        <v>870</v>
      </c>
      <c r="M309" s="233" t="s">
        <v>871</v>
      </c>
      <c r="N309" s="233" t="s">
        <v>872</v>
      </c>
      <c r="O309" s="233" t="s">
        <v>873</v>
      </c>
      <c r="P309" s="233" t="s">
        <v>812</v>
      </c>
      <c r="Q309" s="233"/>
      <c r="R309" s="233" t="s">
        <v>874</v>
      </c>
      <c r="S309" s="248" t="s">
        <v>875</v>
      </c>
      <c r="T309" s="233" t="s">
        <v>876</v>
      </c>
      <c r="U309" s="233"/>
      <c r="V309" s="233" t="s">
        <v>877</v>
      </c>
      <c r="W309" s="233" t="s">
        <v>867</v>
      </c>
    </row>
    <row r="310" spans="2:23">
      <c r="B310" s="231">
        <v>60</v>
      </c>
      <c r="C310" s="231">
        <v>53</v>
      </c>
      <c r="D310" s="231">
        <v>411</v>
      </c>
      <c r="E310" t="s">
        <v>996</v>
      </c>
      <c r="F310" t="s">
        <v>911</v>
      </c>
      <c r="G310" s="232"/>
      <c r="H310" s="231" t="s">
        <v>489</v>
      </c>
      <c r="I310" s="231"/>
      <c r="J310" s="231">
        <v>53</v>
      </c>
      <c r="K310" s="233" t="s">
        <v>878</v>
      </c>
      <c r="L310" s="233" t="s">
        <v>879</v>
      </c>
      <c r="M310" s="233" t="s">
        <v>880</v>
      </c>
      <c r="N310" s="233" t="s">
        <v>636</v>
      </c>
      <c r="O310" s="233" t="s">
        <v>857</v>
      </c>
      <c r="P310" s="233" t="s">
        <v>723</v>
      </c>
      <c r="Q310" s="233"/>
      <c r="R310" s="233" t="s">
        <v>221</v>
      </c>
      <c r="S310" s="248" t="s">
        <v>881</v>
      </c>
      <c r="T310" s="233" t="s">
        <v>882</v>
      </c>
      <c r="U310" s="233"/>
      <c r="V310" s="233" t="s">
        <v>883</v>
      </c>
      <c r="W310" s="233" t="s">
        <v>867</v>
      </c>
    </row>
    <row r="311" spans="2:23">
      <c r="B311" s="231">
        <v>61</v>
      </c>
      <c r="C311" s="231">
        <v>54</v>
      </c>
      <c r="D311" s="231">
        <v>425</v>
      </c>
      <c r="E311" t="s">
        <v>997</v>
      </c>
      <c r="F311" t="s">
        <v>911</v>
      </c>
      <c r="G311" s="232" t="s">
        <v>884</v>
      </c>
      <c r="H311" s="231" t="s">
        <v>489</v>
      </c>
      <c r="I311" s="231"/>
      <c r="J311" s="231">
        <v>54</v>
      </c>
      <c r="K311" s="233" t="s">
        <v>885</v>
      </c>
      <c r="L311" s="233" t="s">
        <v>872</v>
      </c>
      <c r="M311" s="233" t="s">
        <v>886</v>
      </c>
      <c r="N311" s="233" t="s">
        <v>887</v>
      </c>
      <c r="O311" s="233" t="s">
        <v>862</v>
      </c>
      <c r="P311" s="233" t="s">
        <v>646</v>
      </c>
      <c r="Q311" s="233"/>
      <c r="R311" s="233" t="s">
        <v>612</v>
      </c>
      <c r="S311" s="248" t="s">
        <v>888</v>
      </c>
      <c r="T311" s="233" t="s">
        <v>889</v>
      </c>
      <c r="U311" s="233"/>
      <c r="V311" s="233" t="s">
        <v>890</v>
      </c>
      <c r="W311" s="233" t="s">
        <v>891</v>
      </c>
    </row>
    <row r="312" spans="2:23">
      <c r="B312" s="231">
        <v>62</v>
      </c>
      <c r="C312" s="231">
        <v>55</v>
      </c>
      <c r="D312" s="231">
        <v>451</v>
      </c>
      <c r="E312" t="s">
        <v>998</v>
      </c>
      <c r="F312" t="s">
        <v>911</v>
      </c>
      <c r="G312" s="232" t="s">
        <v>892</v>
      </c>
      <c r="H312" s="231" t="s">
        <v>489</v>
      </c>
      <c r="I312" s="231"/>
      <c r="J312" s="231">
        <v>55</v>
      </c>
      <c r="K312" s="233" t="s">
        <v>893</v>
      </c>
      <c r="L312" s="233" t="s">
        <v>894</v>
      </c>
      <c r="M312" s="233" t="s">
        <v>895</v>
      </c>
      <c r="N312" s="233" t="s">
        <v>842</v>
      </c>
      <c r="O312" s="233" t="s">
        <v>174</v>
      </c>
      <c r="P312" s="233" t="s">
        <v>636</v>
      </c>
      <c r="Q312" s="233"/>
      <c r="R312" s="233" t="s">
        <v>159</v>
      </c>
      <c r="S312" s="248" t="s">
        <v>896</v>
      </c>
      <c r="T312" s="233" t="s">
        <v>897</v>
      </c>
      <c r="U312" s="233"/>
      <c r="V312" s="233" t="s">
        <v>898</v>
      </c>
      <c r="W312" s="233" t="s">
        <v>899</v>
      </c>
    </row>
    <row r="313" spans="2:23">
      <c r="B313" s="231">
        <v>63</v>
      </c>
      <c r="C313" s="231">
        <v>56</v>
      </c>
      <c r="D313" s="231">
        <v>429</v>
      </c>
      <c r="E313" t="s">
        <v>999</v>
      </c>
      <c r="F313" t="s">
        <v>911</v>
      </c>
      <c r="G313" s="232" t="s">
        <v>900</v>
      </c>
      <c r="H313" s="231" t="s">
        <v>489</v>
      </c>
      <c r="I313" s="231"/>
      <c r="J313" s="231">
        <v>56</v>
      </c>
      <c r="K313" s="233" t="s">
        <v>247</v>
      </c>
      <c r="L313" s="233" t="s">
        <v>901</v>
      </c>
      <c r="M313" s="233" t="s">
        <v>902</v>
      </c>
      <c r="N313" s="233" t="s">
        <v>903</v>
      </c>
      <c r="O313" s="233" t="s">
        <v>904</v>
      </c>
      <c r="P313" s="233" t="s">
        <v>905</v>
      </c>
      <c r="Q313" s="233"/>
      <c r="R313" s="233" t="s">
        <v>906</v>
      </c>
      <c r="S313" s="248" t="s">
        <v>907</v>
      </c>
      <c r="T313" s="233" t="s">
        <v>908</v>
      </c>
      <c r="U313" s="233"/>
      <c r="V313" s="233" t="s">
        <v>909</v>
      </c>
      <c r="W313" s="233" t="s">
        <v>910</v>
      </c>
    </row>
    <row r="314" spans="2:23">
      <c r="B314" s="236" t="s">
        <v>0</v>
      </c>
      <c r="C314" s="236" t="s">
        <v>482</v>
      </c>
      <c r="D314" s="236" t="s">
        <v>1</v>
      </c>
      <c r="E314" s="237" t="s">
        <v>926</v>
      </c>
      <c r="F314" s="243" t="s">
        <v>911</v>
      </c>
      <c r="G314" s="237" t="s">
        <v>3</v>
      </c>
      <c r="H314" s="236" t="s">
        <v>483</v>
      </c>
      <c r="I314" s="236"/>
      <c r="J314" s="238" t="s">
        <v>484</v>
      </c>
      <c r="K314" s="238" t="s">
        <v>5</v>
      </c>
      <c r="L314" s="238" t="s">
        <v>6</v>
      </c>
      <c r="M314" s="238" t="s">
        <v>7</v>
      </c>
      <c r="N314" s="238" t="s">
        <v>8</v>
      </c>
      <c r="O314" s="238" t="s">
        <v>9</v>
      </c>
      <c r="P314" s="238" t="s">
        <v>10</v>
      </c>
      <c r="Q314" s="238"/>
      <c r="R314" s="238" t="s">
        <v>11</v>
      </c>
      <c r="S314" s="248" t="s">
        <v>485</v>
      </c>
      <c r="T314" s="238" t="s">
        <v>486</v>
      </c>
      <c r="U314" s="238"/>
      <c r="V314" s="238" t="s">
        <v>487</v>
      </c>
      <c r="W314" s="238" t="s">
        <v>488</v>
      </c>
    </row>
    <row r="315" spans="2:23">
      <c r="B315" s="251"/>
      <c r="C315" s="251"/>
      <c r="D315" s="251"/>
      <c r="E315" s="252"/>
      <c r="F315" s="157"/>
      <c r="G315" s="252"/>
      <c r="H315" s="251"/>
      <c r="I315" s="251"/>
      <c r="J315" s="253"/>
      <c r="K315" s="253"/>
      <c r="L315" s="253"/>
      <c r="M315" s="253"/>
      <c r="N315" s="253"/>
      <c r="O315" s="253"/>
      <c r="P315" s="253"/>
      <c r="Q315" s="253"/>
      <c r="R315" s="253"/>
      <c r="S315" s="248"/>
      <c r="T315" s="253"/>
      <c r="U315" s="253"/>
      <c r="V315" s="253"/>
      <c r="W315" s="253"/>
    </row>
    <row r="316" spans="2:23">
      <c r="H316"/>
      <c r="I316"/>
      <c r="J316"/>
    </row>
    <row r="318" spans="2:23" ht="23.25">
      <c r="D318" s="20" t="s">
        <v>1033</v>
      </c>
      <c r="J318" s="307"/>
      <c r="K318" s="20" t="s">
        <v>1294</v>
      </c>
      <c r="M318"/>
      <c r="N318"/>
      <c r="O318"/>
      <c r="P318"/>
      <c r="Q318"/>
    </row>
    <row r="319" spans="2:23" ht="23.25">
      <c r="D319" s="20"/>
      <c r="J319" s="307"/>
      <c r="K319" s="20"/>
      <c r="M319"/>
      <c r="N319"/>
      <c r="O319"/>
      <c r="P319"/>
      <c r="Q319"/>
    </row>
    <row r="320" spans="2:23">
      <c r="C320" s="370"/>
      <c r="D320" s="369" t="s">
        <v>0</v>
      </c>
      <c r="E320" s="12" t="s">
        <v>1</v>
      </c>
      <c r="F320" s="12"/>
      <c r="G320" s="12" t="s">
        <v>3</v>
      </c>
      <c r="H320" s="12"/>
      <c r="I320" s="12"/>
      <c r="J320" s="308" t="s">
        <v>12</v>
      </c>
      <c r="K320" s="12" t="s">
        <v>1117</v>
      </c>
      <c r="L320" s="370"/>
      <c r="M320"/>
      <c r="N320"/>
      <c r="O320"/>
      <c r="P320"/>
      <c r="Q320"/>
    </row>
    <row r="321" spans="2:17">
      <c r="J321" s="307"/>
      <c r="K321" s="135"/>
      <c r="M321"/>
      <c r="N321"/>
      <c r="O321"/>
      <c r="P321"/>
      <c r="Q321"/>
    </row>
    <row r="322" spans="2:17">
      <c r="B322" s="144"/>
      <c r="C322" s="144"/>
      <c r="D322" s="363" t="s">
        <v>1045</v>
      </c>
      <c r="E322" s="363">
        <v>236</v>
      </c>
      <c r="F322" s="366" t="s">
        <v>1046</v>
      </c>
      <c r="G322" s="144"/>
      <c r="H322" s="183"/>
      <c r="I322" s="183"/>
      <c r="J322" s="365">
        <v>5.6446759259259259E-2</v>
      </c>
      <c r="K322" s="363"/>
      <c r="L322" s="253"/>
      <c r="M322"/>
      <c r="N322"/>
      <c r="O322"/>
      <c r="P322"/>
      <c r="Q322"/>
    </row>
    <row r="323" spans="2:17">
      <c r="B323" s="144"/>
      <c r="C323" s="144"/>
      <c r="D323" s="363" t="s">
        <v>1047</v>
      </c>
      <c r="E323" s="363">
        <v>240</v>
      </c>
      <c r="F323" s="366" t="s">
        <v>1048</v>
      </c>
      <c r="G323" s="144"/>
      <c r="H323" s="183"/>
      <c r="I323" s="183"/>
      <c r="J323" s="365">
        <v>6.1701388888888896E-2</v>
      </c>
      <c r="K323" s="367">
        <v>0.31527777777777777</v>
      </c>
      <c r="L323" s="253"/>
      <c r="M323"/>
      <c r="N323"/>
      <c r="O323"/>
      <c r="P323"/>
      <c r="Q323"/>
    </row>
    <row r="324" spans="2:17">
      <c r="B324" s="144"/>
      <c r="C324" s="144"/>
      <c r="D324" s="363" t="s">
        <v>1049</v>
      </c>
      <c r="E324" s="363">
        <v>216</v>
      </c>
      <c r="F324" s="366" t="s">
        <v>517</v>
      </c>
      <c r="G324" s="144"/>
      <c r="H324" s="183"/>
      <c r="I324" s="183"/>
      <c r="J324" s="365">
        <v>6.232638888888889E-2</v>
      </c>
      <c r="K324" s="367">
        <v>0.3527777777777778</v>
      </c>
      <c r="L324" s="253"/>
      <c r="M324"/>
      <c r="N324"/>
      <c r="O324"/>
      <c r="P324"/>
      <c r="Q324"/>
    </row>
    <row r="325" spans="2:17">
      <c r="B325" s="144"/>
      <c r="C325" s="144"/>
      <c r="D325" s="363" t="s">
        <v>1050</v>
      </c>
      <c r="E325" s="363">
        <v>246</v>
      </c>
      <c r="F325" s="366" t="s">
        <v>1051</v>
      </c>
      <c r="G325" s="144"/>
      <c r="H325" s="183"/>
      <c r="I325" s="183"/>
      <c r="J325" s="365">
        <v>6.2384259259259257E-2</v>
      </c>
      <c r="K325" s="367">
        <v>0.35625000000000001</v>
      </c>
      <c r="L325" s="253"/>
      <c r="M325"/>
      <c r="N325"/>
      <c r="O325"/>
      <c r="P325"/>
      <c r="Q325"/>
    </row>
    <row r="326" spans="2:17">
      <c r="B326" s="144"/>
      <c r="C326" s="144"/>
      <c r="D326" s="363" t="s">
        <v>1052</v>
      </c>
      <c r="E326" s="363">
        <v>231</v>
      </c>
      <c r="F326" s="366" t="s">
        <v>1048</v>
      </c>
      <c r="G326" s="144"/>
      <c r="H326" s="183"/>
      <c r="I326" s="183"/>
      <c r="J326" s="365">
        <v>6.3981481481481486E-2</v>
      </c>
      <c r="K326" s="367">
        <v>0.45208333333333334</v>
      </c>
      <c r="L326" s="253"/>
      <c r="M326"/>
      <c r="N326"/>
      <c r="O326"/>
      <c r="P326"/>
      <c r="Q326"/>
    </row>
    <row r="327" spans="2:17">
      <c r="B327" s="144"/>
      <c r="C327" s="144"/>
      <c r="D327" s="363" t="s">
        <v>1053</v>
      </c>
      <c r="E327" s="363">
        <v>238</v>
      </c>
      <c r="F327" s="366" t="s">
        <v>1054</v>
      </c>
      <c r="G327" s="144"/>
      <c r="H327" s="183"/>
      <c r="I327" s="183"/>
      <c r="J327" s="365">
        <v>6.4039351851851847E-2</v>
      </c>
      <c r="K327" s="367">
        <v>0.45555555555555555</v>
      </c>
      <c r="L327" s="253"/>
      <c r="M327"/>
      <c r="N327"/>
      <c r="O327"/>
      <c r="P327"/>
      <c r="Q327"/>
    </row>
    <row r="328" spans="2:17">
      <c r="B328" s="144"/>
      <c r="C328" s="144"/>
      <c r="D328" s="363" t="s">
        <v>1055</v>
      </c>
      <c r="E328" s="363">
        <v>212</v>
      </c>
      <c r="F328" s="366" t="s">
        <v>1056</v>
      </c>
      <c r="G328" s="144"/>
      <c r="H328" s="183"/>
      <c r="I328" s="183"/>
      <c r="J328" s="365">
        <v>6.5590277777777775E-2</v>
      </c>
      <c r="K328" s="367">
        <v>0.54861111111111105</v>
      </c>
      <c r="L328" s="253"/>
      <c r="M328"/>
      <c r="N328"/>
      <c r="O328"/>
      <c r="P328"/>
      <c r="Q328"/>
    </row>
    <row r="329" spans="2:17">
      <c r="B329" s="144"/>
      <c r="C329" s="144"/>
      <c r="D329" s="363" t="s">
        <v>1057</v>
      </c>
      <c r="E329" s="363">
        <v>203</v>
      </c>
      <c r="F329" s="366" t="s">
        <v>1058</v>
      </c>
      <c r="G329" s="144"/>
      <c r="H329" s="183"/>
      <c r="I329" s="183"/>
      <c r="J329" s="365">
        <v>6.6180555555555562E-2</v>
      </c>
      <c r="K329" s="367">
        <v>0.58402777777777781</v>
      </c>
      <c r="L329" s="253"/>
      <c r="M329"/>
      <c r="N329"/>
      <c r="O329"/>
      <c r="P329"/>
      <c r="Q329"/>
    </row>
    <row r="330" spans="2:17">
      <c r="B330" s="144"/>
      <c r="C330" s="144"/>
      <c r="D330" s="363" t="s">
        <v>1059</v>
      </c>
      <c r="E330" s="363">
        <v>202</v>
      </c>
      <c r="F330" s="366" t="s">
        <v>1060</v>
      </c>
      <c r="G330" s="144"/>
      <c r="H330" s="183"/>
      <c r="I330" s="183"/>
      <c r="J330" s="365">
        <v>6.6655092592592599E-2</v>
      </c>
      <c r="K330" s="367">
        <v>0.61249999999999993</v>
      </c>
      <c r="L330" s="253"/>
      <c r="M330"/>
      <c r="N330"/>
      <c r="O330"/>
      <c r="P330"/>
      <c r="Q330"/>
    </row>
    <row r="331" spans="2:17">
      <c r="B331" s="144"/>
      <c r="C331" s="144"/>
      <c r="D331" s="363" t="s">
        <v>1061</v>
      </c>
      <c r="E331" s="363">
        <v>247</v>
      </c>
      <c r="F331" s="366" t="s">
        <v>1062</v>
      </c>
      <c r="G331" s="144"/>
      <c r="H331" s="183"/>
      <c r="I331" s="183"/>
      <c r="J331" s="365">
        <v>6.6944444444444445E-2</v>
      </c>
      <c r="K331" s="367">
        <v>0.62986111111111109</v>
      </c>
      <c r="L331" s="253"/>
      <c r="M331"/>
      <c r="N331"/>
      <c r="O331"/>
      <c r="P331"/>
      <c r="Q331"/>
    </row>
    <row r="332" spans="2:17">
      <c r="B332" s="144"/>
      <c r="C332" s="144"/>
      <c r="D332" s="363" t="s">
        <v>1063</v>
      </c>
      <c r="E332" s="363">
        <v>217</v>
      </c>
      <c r="F332" s="366" t="s">
        <v>1064</v>
      </c>
      <c r="G332" s="144"/>
      <c r="H332" s="183"/>
      <c r="I332" s="183"/>
      <c r="J332" s="365">
        <v>6.7581018518518512E-2</v>
      </c>
      <c r="K332" s="367">
        <v>0.66805555555555562</v>
      </c>
      <c r="L332" s="253"/>
      <c r="M332"/>
      <c r="N332"/>
      <c r="O332"/>
      <c r="P332"/>
      <c r="Q332"/>
    </row>
    <row r="333" spans="2:17">
      <c r="B333" s="144"/>
      <c r="C333" s="144"/>
      <c r="D333" s="363" t="s">
        <v>1065</v>
      </c>
      <c r="E333" s="363">
        <v>206</v>
      </c>
      <c r="F333" s="366" t="s">
        <v>1066</v>
      </c>
      <c r="G333" s="144"/>
      <c r="H333" s="183"/>
      <c r="I333" s="183"/>
      <c r="J333" s="365">
        <v>6.7962962962962961E-2</v>
      </c>
      <c r="K333" s="367">
        <v>0.69097222222222221</v>
      </c>
      <c r="L333" s="253"/>
      <c r="M333"/>
      <c r="N333"/>
      <c r="O333"/>
      <c r="P333"/>
      <c r="Q333"/>
    </row>
    <row r="334" spans="2:17">
      <c r="B334" s="144"/>
      <c r="C334" s="144"/>
      <c r="D334" s="363" t="s">
        <v>1067</v>
      </c>
      <c r="E334" s="363">
        <v>239</v>
      </c>
      <c r="F334" s="366"/>
      <c r="G334" s="144"/>
      <c r="H334" s="183"/>
      <c r="I334" s="183"/>
      <c r="J334" s="365">
        <v>6.8263888888888888E-2</v>
      </c>
      <c r="K334" s="367">
        <v>0.7090277777777777</v>
      </c>
      <c r="L334" s="253"/>
      <c r="M334"/>
      <c r="N334"/>
      <c r="O334"/>
      <c r="P334"/>
      <c r="Q334"/>
    </row>
    <row r="335" spans="2:17">
      <c r="B335" s="144"/>
      <c r="C335" s="144"/>
      <c r="D335" s="363" t="s">
        <v>1068</v>
      </c>
      <c r="E335" s="363">
        <v>219</v>
      </c>
      <c r="F335" s="366" t="s">
        <v>1069</v>
      </c>
      <c r="G335" s="144"/>
      <c r="H335" s="183"/>
      <c r="I335" s="183"/>
      <c r="J335" s="365">
        <v>6.8472222222222226E-2</v>
      </c>
      <c r="K335" s="367">
        <v>0.72152777777777777</v>
      </c>
      <c r="L335" s="253"/>
      <c r="M335"/>
      <c r="N335"/>
      <c r="O335"/>
      <c r="P335"/>
      <c r="Q335"/>
    </row>
    <row r="336" spans="2:17">
      <c r="B336" s="144"/>
      <c r="C336" s="144"/>
      <c r="D336" s="363" t="s">
        <v>1070</v>
      </c>
      <c r="E336" s="363">
        <v>232</v>
      </c>
      <c r="F336" s="366" t="s">
        <v>1071</v>
      </c>
      <c r="G336" s="144"/>
      <c r="H336" s="183"/>
      <c r="I336" s="183"/>
      <c r="J336" s="365">
        <v>6.8483796296296293E-2</v>
      </c>
      <c r="K336" s="367">
        <v>0.72222222222222221</v>
      </c>
      <c r="L336" s="253"/>
      <c r="M336"/>
      <c r="N336"/>
      <c r="O336"/>
      <c r="P336"/>
      <c r="Q336"/>
    </row>
    <row r="337" spans="2:17">
      <c r="B337" s="144"/>
      <c r="C337" s="144"/>
      <c r="D337" s="363" t="s">
        <v>1072</v>
      </c>
      <c r="E337" s="363">
        <v>237</v>
      </c>
      <c r="F337" s="366" t="s">
        <v>567</v>
      </c>
      <c r="G337" s="144"/>
      <c r="H337" s="183"/>
      <c r="I337" s="183"/>
      <c r="J337" s="365">
        <v>6.9560185185185183E-2</v>
      </c>
      <c r="K337" s="367">
        <v>0.78680555555555554</v>
      </c>
      <c r="L337" s="253"/>
      <c r="M337"/>
      <c r="N337"/>
      <c r="O337"/>
      <c r="P337"/>
      <c r="Q337"/>
    </row>
    <row r="338" spans="2:17">
      <c r="B338" s="144"/>
      <c r="C338" s="144"/>
      <c r="D338" s="363" t="s">
        <v>1073</v>
      </c>
      <c r="E338" s="363">
        <v>245</v>
      </c>
      <c r="F338" s="366" t="s">
        <v>1074</v>
      </c>
      <c r="G338" s="144"/>
      <c r="H338" s="183"/>
      <c r="I338" s="183"/>
      <c r="J338" s="365">
        <v>6.9687499999999999E-2</v>
      </c>
      <c r="K338" s="367">
        <v>0.7944444444444444</v>
      </c>
      <c r="L338" s="253"/>
      <c r="M338"/>
      <c r="N338"/>
      <c r="O338"/>
      <c r="P338"/>
      <c r="Q338"/>
    </row>
    <row r="339" spans="2:17">
      <c r="B339" s="144"/>
      <c r="C339" s="144"/>
      <c r="D339" s="363" t="s">
        <v>1075</v>
      </c>
      <c r="E339" s="363">
        <v>201</v>
      </c>
      <c r="F339" s="366" t="s">
        <v>1048</v>
      </c>
      <c r="G339" s="144"/>
      <c r="H339" s="183"/>
      <c r="I339" s="183"/>
      <c r="J339" s="365">
        <v>6.9942129629629632E-2</v>
      </c>
      <c r="K339" s="367">
        <v>0.80972222222222223</v>
      </c>
      <c r="L339" s="253"/>
      <c r="M339"/>
      <c r="N339"/>
      <c r="O339"/>
      <c r="P339"/>
      <c r="Q339"/>
    </row>
    <row r="340" spans="2:17">
      <c r="B340" s="144"/>
      <c r="C340" s="144"/>
      <c r="D340" s="363" t="s">
        <v>1076</v>
      </c>
      <c r="E340" s="363">
        <v>223</v>
      </c>
      <c r="F340" s="366" t="s">
        <v>1077</v>
      </c>
      <c r="G340" s="144"/>
      <c r="H340" s="183"/>
      <c r="I340" s="183"/>
      <c r="J340" s="365">
        <v>7.0254629629629625E-2</v>
      </c>
      <c r="K340" s="367">
        <v>0.82847222222222217</v>
      </c>
      <c r="L340" s="253"/>
      <c r="M340"/>
      <c r="N340"/>
      <c r="O340"/>
      <c r="P340"/>
      <c r="Q340"/>
    </row>
    <row r="341" spans="2:17">
      <c r="B341" s="144"/>
      <c r="C341" s="144"/>
      <c r="D341" s="363" t="s">
        <v>1078</v>
      </c>
      <c r="E341" s="363">
        <v>248</v>
      </c>
      <c r="F341" s="366" t="s">
        <v>1079</v>
      </c>
      <c r="G341" s="144"/>
      <c r="H341" s="183"/>
      <c r="I341" s="183"/>
      <c r="J341" s="365">
        <v>7.0509259259259258E-2</v>
      </c>
      <c r="K341" s="367">
        <v>0.84375</v>
      </c>
      <c r="L341" s="253"/>
      <c r="M341"/>
      <c r="N341"/>
      <c r="O341"/>
      <c r="P341"/>
      <c r="Q341"/>
    </row>
    <row r="342" spans="2:17">
      <c r="B342" s="144"/>
      <c r="C342" s="144"/>
      <c r="D342" s="363" t="s">
        <v>1080</v>
      </c>
      <c r="E342" s="363">
        <v>207</v>
      </c>
      <c r="F342" s="366" t="s">
        <v>788</v>
      </c>
      <c r="G342" s="144"/>
      <c r="H342" s="183"/>
      <c r="I342" s="183"/>
      <c r="J342" s="365">
        <v>7.0613425925925913E-2</v>
      </c>
      <c r="K342" s="367">
        <v>0.85</v>
      </c>
      <c r="L342" s="253"/>
      <c r="M342"/>
      <c r="N342"/>
      <c r="O342"/>
      <c r="P342"/>
      <c r="Q342"/>
    </row>
    <row r="343" spans="2:17">
      <c r="B343" s="144"/>
      <c r="C343" s="144"/>
      <c r="D343" s="363" t="s">
        <v>1081</v>
      </c>
      <c r="E343" s="363">
        <v>224</v>
      </c>
      <c r="F343" s="366" t="s">
        <v>1082</v>
      </c>
      <c r="G343" s="144"/>
      <c r="H343" s="183"/>
      <c r="I343" s="183"/>
      <c r="J343" s="365">
        <v>7.1087962962962964E-2</v>
      </c>
      <c r="K343" s="367">
        <v>0.87847222222222221</v>
      </c>
      <c r="L343" s="253"/>
      <c r="M343"/>
      <c r="N343"/>
      <c r="O343"/>
      <c r="P343"/>
      <c r="Q343"/>
    </row>
    <row r="344" spans="2:17">
      <c r="B344" s="371"/>
      <c r="C344" s="371"/>
      <c r="D344" s="375" t="s">
        <v>1083</v>
      </c>
      <c r="E344" s="375">
        <v>215</v>
      </c>
      <c r="F344" s="376" t="s">
        <v>127</v>
      </c>
      <c r="G344" s="377"/>
      <c r="H344" s="372"/>
      <c r="I344" s="372"/>
      <c r="J344" s="401">
        <v>7.1562499999999987E-2</v>
      </c>
      <c r="K344" s="373">
        <v>0.90694444444444444</v>
      </c>
      <c r="L344" s="374"/>
      <c r="M344"/>
      <c r="N344"/>
      <c r="O344"/>
      <c r="P344"/>
      <c r="Q344"/>
    </row>
    <row r="345" spans="2:17">
      <c r="B345" s="168"/>
      <c r="C345" s="168"/>
      <c r="D345" s="555" t="s">
        <v>1084</v>
      </c>
      <c r="E345" s="363">
        <v>243</v>
      </c>
      <c r="F345" s="366" t="s">
        <v>649</v>
      </c>
      <c r="G345" s="144"/>
      <c r="H345" s="183"/>
      <c r="I345" s="183"/>
      <c r="J345" s="365">
        <v>7.2199074074074068E-2</v>
      </c>
      <c r="K345" s="367">
        <v>0.94513888888888886</v>
      </c>
      <c r="L345" s="253"/>
      <c r="M345"/>
      <c r="N345"/>
      <c r="O345"/>
      <c r="P345"/>
      <c r="Q345"/>
    </row>
    <row r="346" spans="2:17">
      <c r="B346" s="144"/>
      <c r="C346" s="144"/>
      <c r="D346" s="363" t="s">
        <v>1085</v>
      </c>
      <c r="E346" s="363">
        <v>209</v>
      </c>
      <c r="F346" s="366" t="s">
        <v>1086</v>
      </c>
      <c r="G346" s="144"/>
      <c r="H346" s="183"/>
      <c r="I346" s="183"/>
      <c r="J346" s="365">
        <v>7.3506944444444444E-2</v>
      </c>
      <c r="K346" s="368">
        <v>1.023611111111111</v>
      </c>
      <c r="L346" s="253"/>
      <c r="M346"/>
      <c r="N346"/>
      <c r="O346"/>
      <c r="P346"/>
      <c r="Q346"/>
    </row>
    <row r="347" spans="2:17">
      <c r="B347" s="144"/>
      <c r="C347" s="144"/>
      <c r="D347" s="363" t="s">
        <v>1087</v>
      </c>
      <c r="E347" s="363">
        <v>235</v>
      </c>
      <c r="F347" s="366"/>
      <c r="G347" s="144"/>
      <c r="H347" s="183"/>
      <c r="I347" s="183"/>
      <c r="J347" s="365">
        <v>7.4050925925925923E-2</v>
      </c>
      <c r="K347" s="368">
        <v>1.0562500000000001</v>
      </c>
      <c r="L347" s="253"/>
      <c r="M347"/>
      <c r="N347"/>
      <c r="O347"/>
      <c r="P347"/>
      <c r="Q347"/>
    </row>
    <row r="348" spans="2:17">
      <c r="B348" s="144"/>
      <c r="C348" s="144"/>
      <c r="D348" s="363" t="s">
        <v>1088</v>
      </c>
      <c r="E348" s="363">
        <v>242</v>
      </c>
      <c r="F348" s="366" t="s">
        <v>713</v>
      </c>
      <c r="G348" s="144"/>
      <c r="H348" s="183"/>
      <c r="I348" s="183"/>
      <c r="J348" s="365">
        <v>7.4224537037037033E-2</v>
      </c>
      <c r="K348" s="368">
        <v>1.0666666666666667</v>
      </c>
      <c r="L348" s="253"/>
      <c r="M348"/>
      <c r="N348"/>
      <c r="O348"/>
      <c r="P348"/>
      <c r="Q348"/>
    </row>
    <row r="349" spans="2:17">
      <c r="B349" s="144"/>
      <c r="C349" s="144"/>
      <c r="D349" s="363" t="s">
        <v>1089</v>
      </c>
      <c r="E349" s="363">
        <v>241</v>
      </c>
      <c r="F349" s="366" t="s">
        <v>1090</v>
      </c>
      <c r="G349" s="144"/>
      <c r="H349" s="183"/>
      <c r="I349" s="183"/>
      <c r="J349" s="365">
        <v>7.4386574074074077E-2</v>
      </c>
      <c r="K349" s="368">
        <v>1.0763888888888888</v>
      </c>
      <c r="L349" s="253"/>
      <c r="M349"/>
      <c r="N349"/>
      <c r="O349"/>
      <c r="P349"/>
      <c r="Q349"/>
    </row>
    <row r="350" spans="2:17">
      <c r="B350" s="144"/>
      <c r="C350" s="144"/>
      <c r="D350" s="363" t="s">
        <v>1091</v>
      </c>
      <c r="E350" s="363">
        <v>225</v>
      </c>
      <c r="F350" s="366"/>
      <c r="G350" s="144"/>
      <c r="H350" s="183"/>
      <c r="I350" s="183"/>
      <c r="J350" s="365">
        <v>7.5532407407407409E-2</v>
      </c>
      <c r="K350" s="368">
        <v>1.1451388888888889</v>
      </c>
      <c r="L350" s="253"/>
      <c r="M350"/>
      <c r="N350"/>
      <c r="O350"/>
      <c r="P350"/>
      <c r="Q350"/>
    </row>
    <row r="351" spans="2:17">
      <c r="B351" s="144"/>
      <c r="C351" s="144"/>
      <c r="D351" s="363" t="s">
        <v>1092</v>
      </c>
      <c r="E351" s="363">
        <v>218</v>
      </c>
      <c r="F351" s="366" t="s">
        <v>380</v>
      </c>
      <c r="G351" s="144"/>
      <c r="H351" s="183"/>
      <c r="I351" s="183"/>
      <c r="J351" s="365">
        <v>7.6493055555555564E-2</v>
      </c>
      <c r="K351" s="368">
        <v>1.2027777777777777</v>
      </c>
      <c r="L351" s="253"/>
      <c r="M351"/>
      <c r="N351"/>
      <c r="O351"/>
      <c r="P351"/>
      <c r="Q351"/>
    </row>
    <row r="352" spans="2:17">
      <c r="B352" s="144"/>
      <c r="C352" s="144"/>
      <c r="D352" s="363" t="s">
        <v>1093</v>
      </c>
      <c r="E352" s="363">
        <v>244</v>
      </c>
      <c r="F352" s="366" t="s">
        <v>655</v>
      </c>
      <c r="G352" s="144"/>
      <c r="H352" s="183"/>
      <c r="I352" s="183"/>
      <c r="J352" s="365">
        <v>7.7129629629629631E-2</v>
      </c>
      <c r="K352" s="368">
        <v>1.2409722222222224</v>
      </c>
      <c r="L352" s="253"/>
      <c r="M352"/>
      <c r="N352"/>
      <c r="O352"/>
      <c r="P352"/>
      <c r="Q352"/>
    </row>
    <row r="353" spans="2:17">
      <c r="B353" s="144"/>
      <c r="C353" s="144"/>
      <c r="D353" s="363" t="s">
        <v>1094</v>
      </c>
      <c r="E353" s="363">
        <v>220</v>
      </c>
      <c r="F353" s="366" t="s">
        <v>371</v>
      </c>
      <c r="G353" s="144"/>
      <c r="H353" s="183"/>
      <c r="I353" s="183"/>
      <c r="J353" s="365">
        <v>7.7141203703703712E-2</v>
      </c>
      <c r="K353" s="368">
        <v>1.2416666666666667</v>
      </c>
      <c r="L353" s="253"/>
      <c r="M353"/>
      <c r="N353"/>
      <c r="O353"/>
      <c r="P353"/>
      <c r="Q353"/>
    </row>
    <row r="354" spans="2:17">
      <c r="B354" s="144"/>
      <c r="C354" s="144"/>
      <c r="D354" s="363" t="s">
        <v>1095</v>
      </c>
      <c r="E354" s="363">
        <v>233</v>
      </c>
      <c r="F354" s="366"/>
      <c r="G354" s="144"/>
      <c r="H354" s="183"/>
      <c r="I354" s="183"/>
      <c r="J354" s="365">
        <v>7.7696759259259257E-2</v>
      </c>
      <c r="K354" s="368">
        <v>1.2750000000000001</v>
      </c>
      <c r="L354" s="253"/>
      <c r="M354"/>
      <c r="N354"/>
      <c r="O354"/>
      <c r="P354"/>
      <c r="Q354"/>
    </row>
    <row r="355" spans="2:17">
      <c r="B355" s="144"/>
      <c r="C355" s="144"/>
      <c r="D355" s="363" t="s">
        <v>1096</v>
      </c>
      <c r="E355" s="363">
        <v>214</v>
      </c>
      <c r="F355" s="366" t="s">
        <v>803</v>
      </c>
      <c r="G355" s="144"/>
      <c r="H355" s="183"/>
      <c r="I355" s="183"/>
      <c r="J355" s="365">
        <v>7.8379629629629632E-2</v>
      </c>
      <c r="K355" s="368">
        <v>1.3159722222222221</v>
      </c>
      <c r="L355" s="253"/>
      <c r="M355"/>
      <c r="N355"/>
      <c r="O355"/>
      <c r="P355"/>
      <c r="Q355"/>
    </row>
    <row r="356" spans="2:17">
      <c r="B356" s="144"/>
      <c r="C356" s="144"/>
      <c r="D356" s="363" t="s">
        <v>1097</v>
      </c>
      <c r="E356" s="363">
        <v>228</v>
      </c>
      <c r="F356" s="366" t="s">
        <v>1098</v>
      </c>
      <c r="G356" s="144"/>
      <c r="H356" s="183"/>
      <c r="I356" s="183"/>
      <c r="J356" s="365">
        <v>7.9895833333333333E-2</v>
      </c>
      <c r="K356" s="368">
        <v>1.4069444444444443</v>
      </c>
      <c r="L356" s="253"/>
      <c r="M356"/>
      <c r="N356"/>
      <c r="O356"/>
      <c r="P356"/>
      <c r="Q356"/>
    </row>
    <row r="357" spans="2:17">
      <c r="B357" s="144"/>
      <c r="C357" s="144"/>
      <c r="D357" s="363" t="s">
        <v>1099</v>
      </c>
      <c r="E357" s="363">
        <v>230</v>
      </c>
      <c r="F357" s="366"/>
      <c r="G357" s="144"/>
      <c r="H357" s="183"/>
      <c r="I357" s="183"/>
      <c r="J357" s="365">
        <v>7.9942129629629641E-2</v>
      </c>
      <c r="K357" s="368">
        <v>1.4097222222222223</v>
      </c>
      <c r="L357" s="253"/>
      <c r="M357"/>
      <c r="N357"/>
      <c r="O357"/>
      <c r="P357"/>
      <c r="Q357"/>
    </row>
    <row r="358" spans="2:17">
      <c r="B358" s="144"/>
      <c r="C358" s="144"/>
      <c r="D358" s="363" t="s">
        <v>1100</v>
      </c>
      <c r="E358" s="363">
        <v>221</v>
      </c>
      <c r="F358" s="366" t="s">
        <v>1101</v>
      </c>
      <c r="G358" s="144"/>
      <c r="H358" s="183"/>
      <c r="I358" s="183"/>
      <c r="J358" s="365">
        <v>7.9965277777777774E-2</v>
      </c>
      <c r="K358" s="368">
        <v>1.4111111111111112</v>
      </c>
      <c r="L358" s="253"/>
      <c r="M358"/>
      <c r="N358"/>
      <c r="O358"/>
      <c r="P358"/>
      <c r="Q358"/>
    </row>
    <row r="359" spans="2:17">
      <c r="B359" s="144"/>
      <c r="C359" s="144"/>
      <c r="D359" s="363" t="s">
        <v>1102</v>
      </c>
      <c r="E359" s="363">
        <v>234</v>
      </c>
      <c r="F359" s="366" t="s">
        <v>552</v>
      </c>
      <c r="G359" s="144"/>
      <c r="H359" s="183"/>
      <c r="I359" s="183"/>
      <c r="J359" s="365">
        <v>8.038194444444445E-2</v>
      </c>
      <c r="K359" s="368">
        <v>1.4361111111111111</v>
      </c>
      <c r="L359" s="253"/>
      <c r="M359"/>
      <c r="N359"/>
      <c r="O359"/>
      <c r="P359"/>
      <c r="Q359"/>
    </row>
    <row r="360" spans="2:17">
      <c r="B360" s="144"/>
      <c r="C360" s="144"/>
      <c r="D360" s="363" t="s">
        <v>1103</v>
      </c>
      <c r="E360" s="363">
        <v>226</v>
      </c>
      <c r="F360" s="366" t="s">
        <v>1104</v>
      </c>
      <c r="G360" s="144"/>
      <c r="H360" s="183"/>
      <c r="I360" s="183"/>
      <c r="J360" s="365">
        <v>8.0740740740740738E-2</v>
      </c>
      <c r="K360" s="368">
        <v>1.4576388888888889</v>
      </c>
      <c r="L360" s="253"/>
      <c r="M360"/>
      <c r="N360"/>
      <c r="O360"/>
      <c r="P360"/>
      <c r="Q360"/>
    </row>
    <row r="361" spans="2:17">
      <c r="B361" s="144"/>
      <c r="C361" s="144"/>
      <c r="D361" s="363" t="s">
        <v>1105</v>
      </c>
      <c r="E361" s="363">
        <v>249</v>
      </c>
      <c r="F361" s="366" t="s">
        <v>1106</v>
      </c>
      <c r="G361" s="144"/>
      <c r="H361" s="183"/>
      <c r="I361" s="183"/>
      <c r="J361" s="365">
        <v>8.160879629629629E-2</v>
      </c>
      <c r="K361" s="368">
        <v>1.5097222222222222</v>
      </c>
      <c r="L361" s="253"/>
      <c r="M361"/>
      <c r="N361"/>
      <c r="O361"/>
      <c r="P361"/>
      <c r="Q361"/>
    </row>
    <row r="362" spans="2:17">
      <c r="B362" s="144"/>
      <c r="C362" s="144"/>
      <c r="D362" s="363" t="s">
        <v>1107</v>
      </c>
      <c r="E362" s="363">
        <v>204</v>
      </c>
      <c r="F362" s="366" t="s">
        <v>1108</v>
      </c>
      <c r="G362" s="144"/>
      <c r="H362" s="183"/>
      <c r="I362" s="183"/>
      <c r="J362" s="365">
        <v>8.2916666666666666E-2</v>
      </c>
      <c r="K362" s="368">
        <v>1.5881944444444445</v>
      </c>
      <c r="L362" s="253"/>
      <c r="M362"/>
      <c r="N362"/>
      <c r="O362"/>
      <c r="P362"/>
      <c r="Q362"/>
    </row>
    <row r="363" spans="2:17">
      <c r="B363" s="144"/>
      <c r="C363" s="144"/>
      <c r="D363" s="363" t="s">
        <v>1109</v>
      </c>
      <c r="E363" s="363">
        <v>210</v>
      </c>
      <c r="F363" s="366" t="s">
        <v>1110</v>
      </c>
      <c r="G363" s="144"/>
      <c r="H363" s="183"/>
      <c r="I363" s="183"/>
      <c r="J363" s="365">
        <v>8.3263888888888887E-2</v>
      </c>
      <c r="K363" s="368">
        <v>1.6090277777777777</v>
      </c>
      <c r="L363" s="253"/>
      <c r="M363"/>
      <c r="N363"/>
      <c r="O363"/>
      <c r="P363"/>
      <c r="Q363"/>
    </row>
    <row r="364" spans="2:17">
      <c r="B364" s="144"/>
      <c r="C364" s="144"/>
      <c r="D364" s="363" t="s">
        <v>1111</v>
      </c>
      <c r="E364" s="363">
        <v>222</v>
      </c>
      <c r="F364" s="366" t="s">
        <v>1112</v>
      </c>
      <c r="G364" s="144"/>
      <c r="H364" s="183"/>
      <c r="I364" s="183"/>
      <c r="J364" s="365">
        <v>8.3888888888888888E-2</v>
      </c>
      <c r="K364" s="368">
        <v>1.6465277777777778</v>
      </c>
      <c r="L364" s="253"/>
      <c r="M364"/>
      <c r="N364"/>
      <c r="O364"/>
      <c r="P364"/>
      <c r="Q364"/>
    </row>
    <row r="365" spans="2:17">
      <c r="B365" s="144"/>
      <c r="C365" s="144"/>
      <c r="D365" s="363" t="s">
        <v>1113</v>
      </c>
      <c r="E365" s="363">
        <v>229</v>
      </c>
      <c r="F365" s="366"/>
      <c r="G365" s="144"/>
      <c r="H365" s="183"/>
      <c r="I365" s="183"/>
      <c r="J365" s="365">
        <v>8.4849537037037029E-2</v>
      </c>
      <c r="K365" s="368">
        <v>1.7041666666666666</v>
      </c>
      <c r="L365" s="253"/>
      <c r="M365"/>
      <c r="N365"/>
      <c r="O365"/>
      <c r="P365"/>
      <c r="Q365"/>
    </row>
    <row r="366" spans="2:17">
      <c r="B366" s="144"/>
      <c r="C366" s="144"/>
      <c r="D366" s="363" t="s">
        <v>1114</v>
      </c>
      <c r="E366" s="363">
        <v>205</v>
      </c>
      <c r="F366" s="366"/>
      <c r="G366" s="144"/>
      <c r="H366" s="183"/>
      <c r="I366" s="183"/>
      <c r="J366" s="365">
        <v>8.7071759259259252E-2</v>
      </c>
      <c r="K366" s="368">
        <v>1.8375000000000001</v>
      </c>
      <c r="L366" s="253"/>
      <c r="M366"/>
      <c r="N366"/>
      <c r="O366"/>
      <c r="P366"/>
      <c r="Q366"/>
    </row>
    <row r="367" spans="2:17">
      <c r="B367" s="144"/>
      <c r="C367" s="144"/>
      <c r="D367" s="363" t="s">
        <v>1115</v>
      </c>
      <c r="E367" s="363">
        <v>211</v>
      </c>
      <c r="F367" s="366" t="s">
        <v>1116</v>
      </c>
      <c r="G367" s="144"/>
      <c r="H367" s="183"/>
      <c r="I367" s="183"/>
      <c r="J367" s="365">
        <v>8.7696759259259252E-2</v>
      </c>
      <c r="K367" s="368">
        <v>1.875</v>
      </c>
      <c r="L367" s="253"/>
      <c r="M367"/>
      <c r="N367"/>
      <c r="O367"/>
      <c r="P367"/>
      <c r="Q367"/>
    </row>
    <row r="368" spans="2:17">
      <c r="B368" s="144"/>
      <c r="C368" s="144"/>
      <c r="D368" s="363"/>
      <c r="E368" s="363"/>
      <c r="F368" s="168"/>
      <c r="G368" s="363"/>
      <c r="H368" s="364"/>
      <c r="I368" s="364"/>
      <c r="J368" s="365"/>
      <c r="K368" s="253"/>
      <c r="L368" s="253"/>
      <c r="M368"/>
      <c r="N368"/>
      <c r="O368"/>
      <c r="P368"/>
      <c r="Q368"/>
    </row>
    <row r="369" spans="3:17">
      <c r="H369"/>
      <c r="I369"/>
      <c r="J369"/>
      <c r="K369"/>
      <c r="L369"/>
      <c r="M369"/>
      <c r="N369"/>
      <c r="O369"/>
      <c r="P369"/>
      <c r="Q369"/>
    </row>
    <row r="370" spans="3:17" ht="23.25">
      <c r="D370" s="20" t="s">
        <v>1149</v>
      </c>
      <c r="J370" s="307"/>
      <c r="K370" s="20" t="s">
        <v>1295</v>
      </c>
      <c r="M370"/>
      <c r="N370"/>
      <c r="O370"/>
      <c r="P370"/>
      <c r="Q370"/>
    </row>
    <row r="371" spans="3:17">
      <c r="H371"/>
      <c r="I371"/>
      <c r="J371" s="249"/>
      <c r="K371"/>
      <c r="L371"/>
      <c r="M371"/>
      <c r="N371"/>
      <c r="O371"/>
      <c r="P371"/>
      <c r="Q371"/>
    </row>
    <row r="372" spans="3:17">
      <c r="C372" s="370"/>
      <c r="D372" s="369" t="s">
        <v>0</v>
      </c>
      <c r="E372" s="12" t="s">
        <v>1</v>
      </c>
      <c r="F372" s="12"/>
      <c r="G372" s="12" t="s">
        <v>3</v>
      </c>
      <c r="H372" s="12" t="s">
        <v>5</v>
      </c>
      <c r="I372" s="12"/>
      <c r="J372" s="308" t="s">
        <v>12</v>
      </c>
      <c r="K372" s="12" t="s">
        <v>1117</v>
      </c>
      <c r="L372" s="370"/>
      <c r="M372"/>
      <c r="N372"/>
      <c r="O372"/>
      <c r="P372"/>
      <c r="Q372"/>
    </row>
    <row r="373" spans="3:17">
      <c r="D373" s="363" t="s">
        <v>1045</v>
      </c>
      <c r="E373" s="363">
        <v>200</v>
      </c>
      <c r="F373" s="393" t="s">
        <v>1133</v>
      </c>
      <c r="G373" s="144"/>
      <c r="J373" s="365">
        <v>4.6261574074074073E-2</v>
      </c>
      <c r="K373" s="183"/>
    </row>
    <row r="374" spans="3:17">
      <c r="D374" s="363" t="s">
        <v>1047</v>
      </c>
      <c r="E374" s="363">
        <v>201</v>
      </c>
      <c r="F374" s="393" t="s">
        <v>1134</v>
      </c>
      <c r="G374" s="144"/>
      <c r="J374" s="365">
        <v>5.7673611111111113E-2</v>
      </c>
      <c r="K374" s="402">
        <v>0.68472222222222223</v>
      </c>
    </row>
    <row r="375" spans="3:17">
      <c r="D375" s="363" t="s">
        <v>1049</v>
      </c>
      <c r="E375" s="363">
        <v>226</v>
      </c>
      <c r="F375" s="393"/>
      <c r="G375" s="144"/>
      <c r="J375" s="365">
        <v>5.8020833333333334E-2</v>
      </c>
      <c r="K375" s="402">
        <v>0.7055555555555556</v>
      </c>
    </row>
    <row r="376" spans="3:17">
      <c r="D376" s="363" t="s">
        <v>1050</v>
      </c>
      <c r="E376" s="363">
        <v>218</v>
      </c>
      <c r="F376" s="393" t="s">
        <v>358</v>
      </c>
      <c r="G376" s="144"/>
      <c r="J376" s="365">
        <v>5.8564814814814813E-2</v>
      </c>
      <c r="K376" s="402">
        <v>0.73819444444444438</v>
      </c>
    </row>
    <row r="377" spans="3:17">
      <c r="D377" s="363" t="s">
        <v>1052</v>
      </c>
      <c r="E377" s="363">
        <v>228</v>
      </c>
      <c r="F377" s="393"/>
      <c r="G377" s="144"/>
      <c r="J377" s="365">
        <v>5.9641203703703703E-2</v>
      </c>
      <c r="K377" s="402">
        <v>0.8027777777777777</v>
      </c>
    </row>
    <row r="378" spans="3:17">
      <c r="D378" s="363" t="s">
        <v>1053</v>
      </c>
      <c r="E378" s="363">
        <v>246</v>
      </c>
      <c r="F378" s="393" t="s">
        <v>526</v>
      </c>
      <c r="G378" s="144"/>
      <c r="J378" s="365">
        <v>6.0335648148148145E-2</v>
      </c>
      <c r="K378" s="402">
        <v>0.84444444444444444</v>
      </c>
    </row>
    <row r="379" spans="3:17">
      <c r="D379" s="363" t="s">
        <v>1055</v>
      </c>
      <c r="E379" s="363">
        <v>233</v>
      </c>
      <c r="F379" s="393"/>
      <c r="G379" s="144"/>
      <c r="J379" s="365">
        <v>6.2303240740740735E-2</v>
      </c>
      <c r="K379" s="402">
        <v>0.96250000000000002</v>
      </c>
    </row>
    <row r="380" spans="3:17">
      <c r="D380" s="363" t="s">
        <v>1057</v>
      </c>
      <c r="E380" s="363">
        <v>225</v>
      </c>
      <c r="F380" s="393"/>
      <c r="G380" s="144"/>
      <c r="J380" s="365">
        <v>6.491898148148148E-2</v>
      </c>
      <c r="K380" s="368">
        <v>1.1194444444444445</v>
      </c>
    </row>
    <row r="381" spans="3:17">
      <c r="D381" s="363" t="s">
        <v>1059</v>
      </c>
      <c r="E381" s="363">
        <v>203</v>
      </c>
      <c r="F381" s="393" t="s">
        <v>171</v>
      </c>
      <c r="G381" s="144"/>
      <c r="J381" s="365">
        <v>6.5462962962962959E-2</v>
      </c>
      <c r="K381" s="368">
        <v>1.1520833333333333</v>
      </c>
    </row>
    <row r="382" spans="3:17">
      <c r="D382" s="363" t="s">
        <v>1061</v>
      </c>
      <c r="E382" s="363">
        <v>202</v>
      </c>
      <c r="F382" s="393" t="s">
        <v>1135</v>
      </c>
      <c r="G382" s="144"/>
      <c r="J382" s="365">
        <v>6.5798611111111113E-2</v>
      </c>
      <c r="K382" s="368">
        <v>1.1722222222222223</v>
      </c>
    </row>
    <row r="383" spans="3:17">
      <c r="D383" s="363" t="s">
        <v>1063</v>
      </c>
      <c r="E383" s="363">
        <v>247</v>
      </c>
      <c r="F383" s="393" t="s">
        <v>1136</v>
      </c>
      <c r="G383" s="144"/>
      <c r="J383" s="365">
        <v>6.5833333333333341E-2</v>
      </c>
      <c r="K383" s="368">
        <v>1.1743055555555555</v>
      </c>
    </row>
    <row r="384" spans="3:17">
      <c r="D384" s="363" t="s">
        <v>1065</v>
      </c>
      <c r="E384" s="363">
        <v>207</v>
      </c>
      <c r="F384" s="393" t="s">
        <v>380</v>
      </c>
      <c r="G384" s="144"/>
      <c r="J384" s="365">
        <v>6.6608796296296291E-2</v>
      </c>
      <c r="K384" s="368">
        <v>1.2208333333333334</v>
      </c>
    </row>
    <row r="385" spans="2:12">
      <c r="D385" s="363" t="s">
        <v>1067</v>
      </c>
      <c r="E385" s="363">
        <v>274</v>
      </c>
      <c r="F385" s="393" t="s">
        <v>1137</v>
      </c>
      <c r="G385" s="144"/>
      <c r="J385" s="365">
        <v>6.7511574074074085E-2</v>
      </c>
      <c r="K385" s="368">
        <v>1.2750000000000001</v>
      </c>
    </row>
    <row r="386" spans="2:12">
      <c r="B386" s="371"/>
      <c r="C386" s="371"/>
      <c r="D386" s="397" t="s">
        <v>1068</v>
      </c>
      <c r="E386" s="397">
        <v>217</v>
      </c>
      <c r="F386" s="398" t="s">
        <v>127</v>
      </c>
      <c r="G386" s="399"/>
      <c r="H386" s="187"/>
      <c r="I386" s="187"/>
      <c r="J386" s="401">
        <v>6.8113425925925938E-2</v>
      </c>
      <c r="K386" s="400">
        <v>1.3111111111111111</v>
      </c>
      <c r="L386" s="187"/>
    </row>
    <row r="387" spans="2:12">
      <c r="D387" s="363" t="s">
        <v>1070</v>
      </c>
      <c r="E387" s="363">
        <v>276</v>
      </c>
      <c r="F387" s="393" t="s">
        <v>1138</v>
      </c>
      <c r="G387" s="144"/>
      <c r="J387" s="365">
        <v>6.8113425925925938E-2</v>
      </c>
      <c r="K387" s="368">
        <v>1.3111111111111111</v>
      </c>
    </row>
    <row r="388" spans="2:12">
      <c r="D388" s="363" t="s">
        <v>1072</v>
      </c>
      <c r="E388" s="363">
        <v>277</v>
      </c>
      <c r="F388" s="393" t="s">
        <v>567</v>
      </c>
      <c r="G388" s="144"/>
      <c r="J388" s="365">
        <v>6.9363425925925926E-2</v>
      </c>
      <c r="K388" s="368">
        <v>1.3861111111111111</v>
      </c>
    </row>
    <row r="389" spans="2:12">
      <c r="D389" s="363" t="s">
        <v>1073</v>
      </c>
      <c r="E389" s="363">
        <v>209</v>
      </c>
      <c r="F389" s="393" t="s">
        <v>788</v>
      </c>
      <c r="G389" s="144"/>
      <c r="J389" s="365">
        <v>6.9594907407407411E-2</v>
      </c>
      <c r="K389" s="368">
        <v>1.4000000000000001</v>
      </c>
    </row>
    <row r="390" spans="2:12">
      <c r="D390" s="363" t="s">
        <v>1075</v>
      </c>
      <c r="E390" s="363">
        <v>275</v>
      </c>
      <c r="F390" s="393" t="s">
        <v>713</v>
      </c>
      <c r="G390" s="144"/>
      <c r="J390" s="365">
        <v>7.0532407407407405E-2</v>
      </c>
      <c r="K390" s="368">
        <v>1.45625</v>
      </c>
    </row>
    <row r="391" spans="2:12">
      <c r="D391" s="363" t="s">
        <v>1076</v>
      </c>
      <c r="E391" s="363">
        <v>204</v>
      </c>
      <c r="F391" s="393" t="s">
        <v>1139</v>
      </c>
      <c r="G391" s="144"/>
      <c r="J391" s="365">
        <v>7.2233796296296296E-2</v>
      </c>
      <c r="K391" s="368">
        <v>1.5583333333333333</v>
      </c>
    </row>
    <row r="392" spans="2:12">
      <c r="D392" s="363" t="s">
        <v>1078</v>
      </c>
      <c r="E392" s="363">
        <v>221</v>
      </c>
      <c r="F392" s="393" t="s">
        <v>1112</v>
      </c>
      <c r="G392" s="144"/>
      <c r="J392" s="365">
        <v>7.2303240740740737E-2</v>
      </c>
      <c r="K392" s="368">
        <v>1.5625</v>
      </c>
    </row>
    <row r="393" spans="2:12">
      <c r="D393" s="363" t="s">
        <v>1080</v>
      </c>
      <c r="E393" s="363">
        <v>210</v>
      </c>
      <c r="F393" s="393" t="s">
        <v>1140</v>
      </c>
      <c r="G393" s="144"/>
      <c r="J393" s="365">
        <v>7.2488425925925928E-2</v>
      </c>
      <c r="K393" s="368">
        <v>1.5736111111111111</v>
      </c>
    </row>
    <row r="394" spans="2:12">
      <c r="D394" s="363" t="s">
        <v>1081</v>
      </c>
      <c r="E394" s="363">
        <v>236</v>
      </c>
      <c r="F394" s="393"/>
      <c r="G394" s="144"/>
      <c r="J394" s="365">
        <v>7.2638888888888892E-2</v>
      </c>
      <c r="K394" s="368">
        <v>1.5826388888888889</v>
      </c>
    </row>
    <row r="395" spans="2:12">
      <c r="D395" s="363" t="s">
        <v>1083</v>
      </c>
      <c r="E395" s="363">
        <v>223</v>
      </c>
      <c r="F395" s="393"/>
      <c r="G395" s="144"/>
      <c r="J395" s="365">
        <v>7.3344907407407414E-2</v>
      </c>
      <c r="K395" s="368">
        <v>1.625</v>
      </c>
    </row>
    <row r="396" spans="2:12">
      <c r="D396" s="363" t="s">
        <v>1084</v>
      </c>
      <c r="E396" s="363">
        <v>235</v>
      </c>
      <c r="F396" s="393"/>
      <c r="G396" s="144"/>
      <c r="J396" s="365">
        <v>7.3969907407407401E-2</v>
      </c>
      <c r="K396" s="368">
        <v>1.6624999999999999</v>
      </c>
    </row>
    <row r="397" spans="2:12">
      <c r="D397" s="363" t="s">
        <v>1085</v>
      </c>
      <c r="E397" s="363">
        <v>215</v>
      </c>
      <c r="F397" s="393" t="s">
        <v>1141</v>
      </c>
      <c r="G397" s="144"/>
      <c r="J397" s="365">
        <v>7.4375000000000011E-2</v>
      </c>
      <c r="K397" s="368">
        <v>1.6868055555555557</v>
      </c>
    </row>
    <row r="398" spans="2:12">
      <c r="D398" s="363" t="s">
        <v>1087</v>
      </c>
      <c r="E398" s="363">
        <v>208</v>
      </c>
      <c r="F398" s="393" t="s">
        <v>1142</v>
      </c>
      <c r="G398" s="144"/>
      <c r="J398" s="365">
        <v>7.4780092592592592E-2</v>
      </c>
      <c r="K398" s="368">
        <v>1.7111111111111112</v>
      </c>
    </row>
    <row r="399" spans="2:12">
      <c r="D399" s="363" t="s">
        <v>1088</v>
      </c>
      <c r="E399" s="363">
        <v>212</v>
      </c>
      <c r="F399" s="393" t="s">
        <v>803</v>
      </c>
      <c r="G399" s="144"/>
      <c r="J399" s="365">
        <v>7.4930555555555556E-2</v>
      </c>
      <c r="K399" s="368">
        <v>1.7201388888888889</v>
      </c>
    </row>
    <row r="400" spans="2:12">
      <c r="D400" s="363" t="s">
        <v>1089</v>
      </c>
      <c r="E400" s="363">
        <v>272</v>
      </c>
      <c r="F400" s="393" t="s">
        <v>819</v>
      </c>
      <c r="G400" s="144"/>
      <c r="J400" s="365">
        <v>7.4999999999999997E-2</v>
      </c>
      <c r="K400" s="368">
        <v>1.7243055555555555</v>
      </c>
    </row>
    <row r="401" spans="4:11">
      <c r="D401" s="363" t="s">
        <v>1091</v>
      </c>
      <c r="E401" s="363">
        <v>222</v>
      </c>
      <c r="F401" s="393"/>
      <c r="G401" s="144"/>
      <c r="J401" s="365">
        <v>7.5775462962962961E-2</v>
      </c>
      <c r="K401" s="368">
        <v>1.7708333333333333</v>
      </c>
    </row>
    <row r="402" spans="4:11">
      <c r="D402" s="363" t="s">
        <v>1092</v>
      </c>
      <c r="E402" s="363">
        <v>206</v>
      </c>
      <c r="F402" s="393" t="s">
        <v>1143</v>
      </c>
      <c r="G402" s="144"/>
      <c r="J402" s="365">
        <v>7.6249999999999998E-2</v>
      </c>
      <c r="K402" s="368">
        <v>1.7993055555555555</v>
      </c>
    </row>
    <row r="403" spans="4:11">
      <c r="D403" s="363" t="s">
        <v>1093</v>
      </c>
      <c r="E403" s="363">
        <v>224</v>
      </c>
      <c r="F403" s="393"/>
      <c r="G403" s="144"/>
      <c r="J403" s="365">
        <v>7.6504629629629631E-2</v>
      </c>
      <c r="K403" s="368">
        <v>1.8145833333333332</v>
      </c>
    </row>
    <row r="404" spans="4:11">
      <c r="D404" s="363" t="s">
        <v>1094</v>
      </c>
      <c r="E404" s="363">
        <v>271</v>
      </c>
      <c r="F404" s="393" t="s">
        <v>649</v>
      </c>
      <c r="G404" s="144"/>
      <c r="J404" s="365">
        <v>7.6527777777777778E-2</v>
      </c>
      <c r="K404" s="368">
        <v>1.8159722222222223</v>
      </c>
    </row>
    <row r="405" spans="4:11">
      <c r="D405" s="555" t="s">
        <v>1095</v>
      </c>
      <c r="E405" s="555">
        <v>220</v>
      </c>
      <c r="F405" s="556" t="s">
        <v>1048</v>
      </c>
      <c r="G405" s="168"/>
      <c r="J405" s="365">
        <v>7.857638888888889E-2</v>
      </c>
      <c r="K405" s="368">
        <v>1.9388888888888889</v>
      </c>
    </row>
    <row r="406" spans="4:11">
      <c r="D406" s="555" t="s">
        <v>1096</v>
      </c>
      <c r="E406" s="555">
        <v>230</v>
      </c>
      <c r="F406" s="556"/>
      <c r="G406" s="168"/>
      <c r="J406" s="365">
        <v>7.8750000000000001E-2</v>
      </c>
      <c r="K406" s="557">
        <v>1.9493055555555554</v>
      </c>
    </row>
    <row r="407" spans="4:11">
      <c r="D407" s="363" t="s">
        <v>1097</v>
      </c>
      <c r="E407" s="363">
        <v>211</v>
      </c>
      <c r="F407" s="393" t="s">
        <v>1144</v>
      </c>
      <c r="G407" s="144"/>
      <c r="J407" s="365">
        <v>7.8784722222222228E-2</v>
      </c>
      <c r="K407" s="368">
        <v>1.9513888888888891</v>
      </c>
    </row>
    <row r="408" spans="4:11">
      <c r="D408" s="363" t="s">
        <v>1099</v>
      </c>
      <c r="E408" s="363">
        <v>229</v>
      </c>
      <c r="F408" s="393"/>
      <c r="G408" s="144"/>
      <c r="J408" s="365">
        <v>7.9224537037037038E-2</v>
      </c>
      <c r="K408" s="368">
        <v>1.9777777777777779</v>
      </c>
    </row>
    <row r="409" spans="4:11">
      <c r="D409" s="363" t="s">
        <v>1100</v>
      </c>
      <c r="E409" s="363">
        <v>213</v>
      </c>
      <c r="F409" s="393" t="s">
        <v>1145</v>
      </c>
      <c r="G409" s="144"/>
      <c r="J409" s="365">
        <v>7.9687500000000008E-2</v>
      </c>
      <c r="K409" s="368">
        <v>2.0055555555555555</v>
      </c>
    </row>
    <row r="410" spans="4:11">
      <c r="D410" s="363" t="s">
        <v>1102</v>
      </c>
      <c r="E410" s="363">
        <v>227</v>
      </c>
      <c r="F410" s="393"/>
      <c r="G410" s="144"/>
      <c r="J410" s="365">
        <v>7.993055555555556E-2</v>
      </c>
      <c r="K410" s="368">
        <v>2.0201388888888889</v>
      </c>
    </row>
    <row r="411" spans="4:11">
      <c r="D411" s="363" t="s">
        <v>1103</v>
      </c>
      <c r="E411" s="363">
        <v>273</v>
      </c>
      <c r="F411" s="393" t="s">
        <v>1146</v>
      </c>
      <c r="G411" s="144"/>
      <c r="J411" s="365">
        <v>8.1932870370370378E-2</v>
      </c>
      <c r="K411" s="368">
        <v>2.1402777777777779</v>
      </c>
    </row>
    <row r="412" spans="4:11">
      <c r="D412" s="363" t="s">
        <v>1105</v>
      </c>
      <c r="E412" s="363">
        <v>214</v>
      </c>
      <c r="F412" s="393" t="s">
        <v>386</v>
      </c>
      <c r="G412" s="144"/>
      <c r="J412" s="365">
        <v>8.2233796296296291E-2</v>
      </c>
      <c r="K412" s="368">
        <v>2.1583333333333332</v>
      </c>
    </row>
    <row r="413" spans="4:11">
      <c r="D413" s="363" t="s">
        <v>1107</v>
      </c>
      <c r="E413" s="363">
        <v>216</v>
      </c>
      <c r="F413" s="393" t="s">
        <v>371</v>
      </c>
      <c r="G413" s="144"/>
      <c r="J413" s="365">
        <v>8.324074074074074E-2</v>
      </c>
      <c r="K413" s="368">
        <v>2.21875</v>
      </c>
    </row>
    <row r="414" spans="4:11">
      <c r="D414" s="363" t="s">
        <v>1109</v>
      </c>
      <c r="E414" s="363">
        <v>205</v>
      </c>
      <c r="F414" s="393" t="s">
        <v>1147</v>
      </c>
      <c r="G414" s="144"/>
      <c r="J414" s="365">
        <v>8.335648148148149E-2</v>
      </c>
      <c r="K414" s="368">
        <v>2.2256944444444442</v>
      </c>
    </row>
    <row r="415" spans="4:11">
      <c r="D415" s="363" t="s">
        <v>1111</v>
      </c>
      <c r="E415" s="363">
        <v>245</v>
      </c>
      <c r="F415" s="393" t="s">
        <v>1148</v>
      </c>
      <c r="G415" s="144"/>
      <c r="J415" s="365">
        <v>8.3599537037037042E-2</v>
      </c>
      <c r="K415" s="368">
        <v>2.2402777777777776</v>
      </c>
    </row>
    <row r="416" spans="4:11">
      <c r="D416" s="363" t="s">
        <v>1113</v>
      </c>
      <c r="E416" s="363">
        <v>234</v>
      </c>
      <c r="F416" s="393"/>
      <c r="G416" s="144"/>
      <c r="J416" s="365">
        <v>8.4097222222222226E-2</v>
      </c>
      <c r="K416" s="368">
        <v>2.2701388888888889</v>
      </c>
    </row>
    <row r="417" spans="3:13">
      <c r="J417" s="249"/>
    </row>
    <row r="420" spans="3:13" ht="23.25">
      <c r="C420" s="636"/>
      <c r="D420" s="635" t="s">
        <v>1169</v>
      </c>
      <c r="E420" s="636"/>
      <c r="F420" s="636"/>
      <c r="G420" s="636"/>
      <c r="H420" s="637"/>
      <c r="I420" s="637"/>
      <c r="J420" s="637"/>
      <c r="K420" s="635" t="s">
        <v>1296</v>
      </c>
      <c r="L420" s="637"/>
      <c r="M420" s="637"/>
    </row>
    <row r="421" spans="3:13" ht="23.25">
      <c r="D421" s="20"/>
      <c r="G421" s="511" t="s">
        <v>1299</v>
      </c>
      <c r="H421" s="135"/>
      <c r="I421" s="135"/>
      <c r="J421" s="135"/>
      <c r="K421" s="20"/>
    </row>
    <row r="422" spans="3:13">
      <c r="C422" s="243"/>
      <c r="D422" s="503" t="s">
        <v>0</v>
      </c>
      <c r="E422" s="504" t="s">
        <v>1</v>
      </c>
      <c r="F422" s="504"/>
      <c r="G422" s="504" t="s">
        <v>3</v>
      </c>
      <c r="H422" s="504"/>
      <c r="I422" s="504"/>
      <c r="J422" s="504"/>
      <c r="K422" s="504" t="s">
        <v>12</v>
      </c>
      <c r="L422" s="504" t="s">
        <v>1117</v>
      </c>
    </row>
    <row r="423" spans="3:13" ht="15.75" thickBot="1">
      <c r="C423" s="157"/>
      <c r="D423" s="501"/>
      <c r="E423" s="502"/>
      <c r="F423" s="502"/>
      <c r="G423" s="502"/>
      <c r="H423" s="502"/>
      <c r="I423" s="502"/>
      <c r="J423" s="502"/>
      <c r="K423" s="502"/>
      <c r="L423" s="157"/>
    </row>
    <row r="424" spans="3:13" ht="15.75" thickBot="1">
      <c r="D424" s="487" t="s">
        <v>1045</v>
      </c>
      <c r="E424" s="488">
        <v>201</v>
      </c>
      <c r="G424" s="489" t="s">
        <v>1200</v>
      </c>
      <c r="K424" s="498">
        <v>5.4710648148148154E-2</v>
      </c>
      <c r="L424" s="490"/>
      <c r="M424"/>
    </row>
    <row r="425" spans="3:13" ht="15.75" thickBot="1">
      <c r="D425" s="491" t="s">
        <v>1047</v>
      </c>
      <c r="E425" s="485">
        <v>200</v>
      </c>
      <c r="G425" s="486" t="s">
        <v>1134</v>
      </c>
      <c r="K425" s="499">
        <v>5.7465277777777775E-2</v>
      </c>
      <c r="L425" s="492">
        <v>0.16527777777777777</v>
      </c>
      <c r="M425"/>
    </row>
    <row r="426" spans="3:13" ht="15.75" thickBot="1">
      <c r="D426" s="491" t="s">
        <v>1049</v>
      </c>
      <c r="E426" s="485">
        <v>218</v>
      </c>
      <c r="G426" s="486" t="s">
        <v>1140</v>
      </c>
      <c r="K426" s="499">
        <v>5.9513888888888887E-2</v>
      </c>
      <c r="L426" s="492">
        <v>0.28819444444444448</v>
      </c>
      <c r="M426"/>
    </row>
    <row r="427" spans="3:13" ht="15.75" thickBot="1">
      <c r="D427" s="559" t="s">
        <v>1050</v>
      </c>
      <c r="E427" s="558">
        <v>219</v>
      </c>
      <c r="G427" s="562" t="s">
        <v>1201</v>
      </c>
      <c r="K427" s="499">
        <v>6.1273148148148153E-2</v>
      </c>
      <c r="L427" s="560">
        <v>0.39374999999999999</v>
      </c>
      <c r="M427"/>
    </row>
    <row r="428" spans="3:13" ht="15.75" thickBot="1">
      <c r="D428" s="491" t="s">
        <v>1052</v>
      </c>
      <c r="E428" s="485">
        <v>229</v>
      </c>
      <c r="G428" s="486" t="s">
        <v>1202</v>
      </c>
      <c r="K428" s="499">
        <v>6.3078703703703706E-2</v>
      </c>
      <c r="L428" s="492">
        <v>0.50208333333333333</v>
      </c>
      <c r="M428"/>
    </row>
    <row r="429" spans="3:13" ht="15.75" thickBot="1">
      <c r="D429" s="491" t="s">
        <v>1053</v>
      </c>
      <c r="E429" s="485">
        <v>226</v>
      </c>
      <c r="G429" s="486" t="s">
        <v>1203</v>
      </c>
      <c r="K429" s="499">
        <v>6.3148148148148148E-2</v>
      </c>
      <c r="L429" s="492">
        <v>0.50624999999999998</v>
      </c>
      <c r="M429"/>
    </row>
    <row r="430" spans="3:13" ht="15.75" thickBot="1">
      <c r="D430" s="491" t="s">
        <v>1055</v>
      </c>
      <c r="E430" s="485">
        <v>238</v>
      </c>
      <c r="G430" s="486" t="s">
        <v>1204</v>
      </c>
      <c r="K430" s="499">
        <v>6.3194444444444442E-2</v>
      </c>
      <c r="L430" s="492">
        <v>0.50902777777777775</v>
      </c>
      <c r="M430"/>
    </row>
    <row r="431" spans="3:13" ht="15.75" thickBot="1">
      <c r="D431" s="491" t="s">
        <v>1057</v>
      </c>
      <c r="E431" s="485">
        <v>250</v>
      </c>
      <c r="G431" s="486" t="s">
        <v>1205</v>
      </c>
      <c r="K431" s="499">
        <v>6.4444444444444443E-2</v>
      </c>
      <c r="L431" s="492">
        <v>0.58402777777777781</v>
      </c>
      <c r="M431"/>
    </row>
    <row r="432" spans="3:13" ht="15.75" thickBot="1">
      <c r="D432" s="491" t="s">
        <v>1059</v>
      </c>
      <c r="E432" s="485">
        <v>228</v>
      </c>
      <c r="G432" s="486" t="s">
        <v>1206</v>
      </c>
      <c r="K432" s="499">
        <v>6.4548611111111112E-2</v>
      </c>
      <c r="L432" s="492">
        <v>0.59027777777777779</v>
      </c>
      <c r="M432"/>
    </row>
    <row r="433" spans="1:13" ht="15.75" thickBot="1">
      <c r="D433" s="491" t="s">
        <v>1061</v>
      </c>
      <c r="E433" s="485">
        <v>248</v>
      </c>
      <c r="G433" s="486" t="s">
        <v>1207</v>
      </c>
      <c r="K433" s="499">
        <v>6.5057870370370363E-2</v>
      </c>
      <c r="L433" s="492">
        <v>0.62083333333333335</v>
      </c>
      <c r="M433"/>
    </row>
    <row r="434" spans="1:13" ht="15.75" thickBot="1">
      <c r="D434" s="491" t="s">
        <v>1063</v>
      </c>
      <c r="E434" s="485">
        <v>239</v>
      </c>
      <c r="G434" s="486" t="s">
        <v>1208</v>
      </c>
      <c r="K434" s="499">
        <v>6.5405092592592584E-2</v>
      </c>
      <c r="L434" s="492">
        <v>0.64166666666666672</v>
      </c>
      <c r="M434"/>
    </row>
    <row r="435" spans="1:13" ht="15.75" thickBot="1">
      <c r="D435" s="491" t="s">
        <v>1065</v>
      </c>
      <c r="E435" s="485">
        <v>292</v>
      </c>
      <c r="G435" s="486" t="s">
        <v>1209</v>
      </c>
      <c r="K435" s="499">
        <v>6.5625000000000003E-2</v>
      </c>
      <c r="L435" s="492">
        <v>0.65486111111111112</v>
      </c>
      <c r="M435"/>
    </row>
    <row r="436" spans="1:13" ht="15.75" thickBot="1">
      <c r="D436" s="491" t="s">
        <v>1067</v>
      </c>
      <c r="E436" s="485">
        <v>269</v>
      </c>
      <c r="G436" s="486"/>
      <c r="H436" s="135"/>
      <c r="I436" s="135"/>
      <c r="J436" s="135"/>
      <c r="K436" s="499">
        <v>6.621527777777779E-2</v>
      </c>
      <c r="L436" s="492">
        <v>0.69027777777777777</v>
      </c>
      <c r="M436"/>
    </row>
    <row r="437" spans="1:13" ht="15.75" thickBot="1">
      <c r="D437" s="491" t="s">
        <v>1068</v>
      </c>
      <c r="E437" s="485">
        <v>202</v>
      </c>
      <c r="G437" s="486" t="s">
        <v>1210</v>
      </c>
      <c r="H437" s="135"/>
      <c r="I437" s="135"/>
      <c r="J437" s="135"/>
      <c r="K437" s="499">
        <v>6.8298611111111115E-2</v>
      </c>
      <c r="L437" s="492">
        <v>0.81527777777777777</v>
      </c>
      <c r="M437"/>
    </row>
    <row r="438" spans="1:13" ht="15.75" thickBot="1">
      <c r="A438" s="157"/>
      <c r="B438" s="157"/>
      <c r="C438" s="157"/>
      <c r="D438" s="491" t="s">
        <v>1070</v>
      </c>
      <c r="E438" s="485">
        <v>295</v>
      </c>
      <c r="F438" s="566"/>
      <c r="G438" s="486" t="s">
        <v>1211</v>
      </c>
      <c r="H438" s="563"/>
      <c r="I438" s="563"/>
      <c r="J438" s="564"/>
      <c r="K438" s="499">
        <v>6.8356481481481476E-2</v>
      </c>
      <c r="L438" s="492">
        <v>0.81874999999999998</v>
      </c>
      <c r="M438"/>
    </row>
    <row r="439" spans="1:13" ht="15.75" thickBot="1">
      <c r="A439" s="157"/>
      <c r="B439" s="157"/>
      <c r="C439" s="157"/>
      <c r="D439" s="491" t="s">
        <v>1072</v>
      </c>
      <c r="E439" s="485">
        <v>268</v>
      </c>
      <c r="G439" s="486"/>
      <c r="H439" s="135"/>
      <c r="I439" s="135"/>
      <c r="J439" s="135"/>
      <c r="K439" s="499">
        <v>6.8391203703703704E-2</v>
      </c>
      <c r="L439" s="492">
        <v>0.8208333333333333</v>
      </c>
      <c r="M439"/>
    </row>
    <row r="440" spans="1:13" ht="15.75" thickBot="1">
      <c r="A440" s="157"/>
      <c r="B440" s="157"/>
      <c r="C440" s="244"/>
      <c r="D440" s="505" t="s">
        <v>1073</v>
      </c>
      <c r="E440" s="506">
        <v>243</v>
      </c>
      <c r="F440" s="244"/>
      <c r="G440" s="508" t="s">
        <v>1212</v>
      </c>
      <c r="H440" s="186"/>
      <c r="I440" s="186"/>
      <c r="J440" s="186"/>
      <c r="K440" s="509">
        <v>6.8634259259259256E-2</v>
      </c>
      <c r="L440" s="510">
        <v>0.8354166666666667</v>
      </c>
      <c r="M440" s="507"/>
    </row>
    <row r="441" spans="1:13" ht="15.75" thickBot="1">
      <c r="A441" s="157"/>
      <c r="B441" s="157"/>
      <c r="C441" s="157"/>
      <c r="D441" s="491" t="s">
        <v>1075</v>
      </c>
      <c r="E441" s="485">
        <v>214</v>
      </c>
      <c r="G441" s="486" t="s">
        <v>1233</v>
      </c>
      <c r="H441" s="135"/>
      <c r="I441" s="135"/>
      <c r="J441" s="135"/>
      <c r="K441" s="499">
        <v>6.9432870370370367E-2</v>
      </c>
      <c r="L441" s="492">
        <v>0.8833333333333333</v>
      </c>
      <c r="M441"/>
    </row>
    <row r="442" spans="1:13" ht="15.75" thickBot="1">
      <c r="A442" s="157"/>
      <c r="B442" s="157"/>
      <c r="C442" s="157"/>
      <c r="D442" s="491" t="s">
        <v>1076</v>
      </c>
      <c r="E442" s="485">
        <v>212</v>
      </c>
      <c r="G442" s="486" t="s">
        <v>1234</v>
      </c>
      <c r="H442" s="135"/>
      <c r="I442" s="135"/>
      <c r="J442" s="135"/>
      <c r="K442" s="499">
        <v>7.059027777777778E-2</v>
      </c>
      <c r="L442" s="492">
        <v>0.95277777777777783</v>
      </c>
      <c r="M442"/>
    </row>
    <row r="443" spans="1:13" ht="15.75" thickBot="1">
      <c r="A443" s="157"/>
      <c r="B443" s="157"/>
      <c r="C443" s="157"/>
      <c r="D443" s="491" t="s">
        <v>1078</v>
      </c>
      <c r="E443" s="485">
        <v>291</v>
      </c>
      <c r="G443" s="486" t="s">
        <v>1138</v>
      </c>
      <c r="H443" s="135"/>
      <c r="I443" s="135"/>
      <c r="J443" s="135"/>
      <c r="K443" s="499">
        <v>7.0694444444444449E-2</v>
      </c>
      <c r="L443" s="492">
        <v>0.9590277777777777</v>
      </c>
      <c r="M443"/>
    </row>
    <row r="444" spans="1:13" ht="15.75" thickBot="1">
      <c r="A444" s="157"/>
      <c r="B444" s="157"/>
      <c r="C444" s="157"/>
      <c r="D444" s="491" t="s">
        <v>1080</v>
      </c>
      <c r="E444" s="485">
        <v>289</v>
      </c>
      <c r="G444" s="486" t="s">
        <v>540</v>
      </c>
      <c r="H444" s="135"/>
      <c r="I444" s="135"/>
      <c r="J444" s="135"/>
      <c r="K444" s="499">
        <v>7.076388888888889E-2</v>
      </c>
      <c r="L444" s="492">
        <v>0.96319444444444446</v>
      </c>
      <c r="M444"/>
    </row>
    <row r="445" spans="1:13" ht="15.75" thickBot="1">
      <c r="A445" s="157"/>
      <c r="B445" s="157"/>
      <c r="C445" s="157"/>
      <c r="D445" s="491" t="s">
        <v>1081</v>
      </c>
      <c r="E445" s="485">
        <v>223</v>
      </c>
      <c r="G445" s="486" t="s">
        <v>1235</v>
      </c>
      <c r="H445" s="135"/>
      <c r="I445" s="135"/>
      <c r="J445" s="135"/>
      <c r="K445" s="499">
        <v>7.1712962962962964E-2</v>
      </c>
      <c r="L445" s="493">
        <v>1.0201388888888889</v>
      </c>
      <c r="M445"/>
    </row>
    <row r="446" spans="1:13" ht="15.75" thickBot="1">
      <c r="A446" s="157"/>
      <c r="B446" s="157"/>
      <c r="C446" s="565"/>
      <c r="D446" s="491" t="s">
        <v>1083</v>
      </c>
      <c r="E446" s="485">
        <v>210</v>
      </c>
      <c r="F446" s="565"/>
      <c r="G446" s="486" t="s">
        <v>1236</v>
      </c>
      <c r="H446" s="564"/>
      <c r="I446" s="564"/>
      <c r="J446" s="564"/>
      <c r="K446" s="499">
        <v>7.1770833333333339E-2</v>
      </c>
      <c r="L446" s="493">
        <v>1.023611111111111</v>
      </c>
      <c r="M446"/>
    </row>
    <row r="447" spans="1:13" ht="15.75" thickBot="1">
      <c r="A447" s="157"/>
      <c r="B447" s="157"/>
      <c r="C447" s="157"/>
      <c r="D447" s="491" t="s">
        <v>1084</v>
      </c>
      <c r="E447" s="485">
        <v>231</v>
      </c>
      <c r="G447" s="486" t="s">
        <v>1237</v>
      </c>
      <c r="H447" s="135"/>
      <c r="I447" s="135"/>
      <c r="J447" s="135"/>
      <c r="K447" s="499">
        <v>7.2430555555555554E-2</v>
      </c>
      <c r="L447" s="493">
        <v>1.0631944444444443</v>
      </c>
      <c r="M447"/>
    </row>
    <row r="448" spans="1:13" ht="15.75" thickBot="1">
      <c r="A448" s="157"/>
      <c r="B448" s="157"/>
      <c r="C448" s="549"/>
      <c r="D448" s="550" t="s">
        <v>1085</v>
      </c>
      <c r="E448" s="551">
        <v>208</v>
      </c>
      <c r="F448" s="549"/>
      <c r="G448" s="552" t="s">
        <v>1232</v>
      </c>
      <c r="H448" s="553"/>
      <c r="I448" s="553"/>
      <c r="J448" s="553"/>
      <c r="K448" s="499">
        <v>7.2592592592592597E-2</v>
      </c>
      <c r="L448" s="554">
        <v>1.0729166666666667</v>
      </c>
      <c r="M448" s="549"/>
    </row>
    <row r="449" spans="1:13" ht="15.75" thickBot="1">
      <c r="A449" s="157"/>
      <c r="B449" s="157"/>
      <c r="C449" s="157"/>
      <c r="D449" s="491" t="s">
        <v>1087</v>
      </c>
      <c r="E449" s="485">
        <v>216</v>
      </c>
      <c r="G449" s="486" t="s">
        <v>1238</v>
      </c>
      <c r="H449" s="135"/>
      <c r="I449" s="135"/>
      <c r="J449" s="135"/>
      <c r="K449" s="499">
        <v>7.273148148148148E-2</v>
      </c>
      <c r="L449" s="493">
        <v>1.08125</v>
      </c>
      <c r="M449"/>
    </row>
    <row r="450" spans="1:13" ht="15.75" thickBot="1">
      <c r="A450" s="157"/>
      <c r="B450" s="157"/>
      <c r="C450" s="157"/>
      <c r="D450" s="491" t="s">
        <v>1088</v>
      </c>
      <c r="E450" s="485">
        <v>290</v>
      </c>
      <c r="G450" s="486" t="s">
        <v>713</v>
      </c>
      <c r="H450" s="135"/>
      <c r="I450" s="135"/>
      <c r="J450" s="135"/>
      <c r="K450" s="499">
        <v>7.3020833333333326E-2</v>
      </c>
      <c r="L450" s="493">
        <v>1.0986111111111112</v>
      </c>
      <c r="M450"/>
    </row>
    <row r="451" spans="1:13" ht="15.75" thickBot="1">
      <c r="A451" s="157"/>
      <c r="B451" s="157"/>
      <c r="C451" s="157"/>
      <c r="D451" s="491" t="s">
        <v>1089</v>
      </c>
      <c r="E451" s="485">
        <v>286</v>
      </c>
      <c r="G451" s="486" t="s">
        <v>649</v>
      </c>
      <c r="H451" s="135"/>
      <c r="I451" s="135"/>
      <c r="J451" s="135"/>
      <c r="K451" s="499">
        <v>7.3101851851851848E-2</v>
      </c>
      <c r="L451" s="493">
        <v>1.1034722222222222</v>
      </c>
      <c r="M451"/>
    </row>
    <row r="452" spans="1:13" ht="15.75" thickBot="1">
      <c r="A452" s="157"/>
      <c r="B452" s="157"/>
      <c r="C452" s="157"/>
      <c r="D452" s="491" t="s">
        <v>1091</v>
      </c>
      <c r="E452" s="485">
        <v>217</v>
      </c>
      <c r="G452" s="486" t="s">
        <v>1239</v>
      </c>
      <c r="H452" s="135"/>
      <c r="I452" s="135"/>
      <c r="J452" s="135"/>
      <c r="K452" s="499">
        <v>7.3506944444444444E-2</v>
      </c>
      <c r="L452" s="493">
        <v>1.1277777777777778</v>
      </c>
      <c r="M452"/>
    </row>
    <row r="453" spans="1:13" ht="15.75" thickBot="1">
      <c r="A453" s="157"/>
      <c r="B453" s="157"/>
      <c r="C453" s="157"/>
      <c r="D453" s="491" t="s">
        <v>1092</v>
      </c>
      <c r="E453" s="485">
        <v>207</v>
      </c>
      <c r="G453" s="486" t="s">
        <v>1240</v>
      </c>
      <c r="H453" s="135"/>
      <c r="I453" s="135"/>
      <c r="J453" s="135"/>
      <c r="K453" s="499">
        <v>7.4050925925925923E-2</v>
      </c>
      <c r="L453" s="493">
        <v>1.1604166666666667</v>
      </c>
      <c r="M453"/>
    </row>
    <row r="454" spans="1:13" ht="15.75" thickBot="1">
      <c r="A454" s="157"/>
      <c r="B454" s="157"/>
      <c r="C454" s="157"/>
      <c r="D454" s="491" t="s">
        <v>1093</v>
      </c>
      <c r="E454" s="485">
        <v>255</v>
      </c>
      <c r="G454" s="486" t="s">
        <v>1241</v>
      </c>
      <c r="H454" s="135"/>
      <c r="I454" s="135"/>
      <c r="J454" s="135"/>
      <c r="K454" s="499">
        <v>7.4756944444444445E-2</v>
      </c>
      <c r="L454" s="493">
        <v>1.2027777777777777</v>
      </c>
      <c r="M454"/>
    </row>
    <row r="455" spans="1:13" ht="15.75" thickBot="1">
      <c r="A455" s="157"/>
      <c r="B455" s="157"/>
      <c r="C455" s="157"/>
      <c r="D455" s="491" t="s">
        <v>1094</v>
      </c>
      <c r="E455" s="485">
        <v>213</v>
      </c>
      <c r="G455" s="486" t="s">
        <v>1233</v>
      </c>
      <c r="H455" s="135"/>
      <c r="I455" s="135"/>
      <c r="J455" s="135"/>
      <c r="K455" s="499">
        <v>7.481481481481482E-2</v>
      </c>
      <c r="L455" s="493">
        <v>1.20625</v>
      </c>
      <c r="M455"/>
    </row>
    <row r="456" spans="1:13" ht="15.75" thickBot="1">
      <c r="A456" s="157"/>
      <c r="B456" s="157"/>
      <c r="C456" s="157"/>
      <c r="D456" s="491" t="s">
        <v>1095</v>
      </c>
      <c r="E456" s="485">
        <v>234</v>
      </c>
      <c r="G456" s="486" t="s">
        <v>1231</v>
      </c>
      <c r="H456" s="135"/>
      <c r="I456" s="135"/>
      <c r="J456" s="135"/>
      <c r="K456" s="499">
        <v>7.4837962962962967E-2</v>
      </c>
      <c r="L456" s="493">
        <v>1.2076388888888889</v>
      </c>
      <c r="M456"/>
    </row>
    <row r="457" spans="1:13" ht="15.75" thickBot="1">
      <c r="A457" s="157"/>
      <c r="B457" s="157"/>
      <c r="C457" s="157"/>
      <c r="D457" s="491" t="s">
        <v>1096</v>
      </c>
      <c r="E457" s="485">
        <v>224</v>
      </c>
      <c r="G457" s="486" t="s">
        <v>1242</v>
      </c>
      <c r="H457" s="135"/>
      <c r="I457" s="135"/>
      <c r="J457" s="135"/>
      <c r="K457" s="499">
        <v>7.4930555555555556E-2</v>
      </c>
      <c r="L457" s="493">
        <v>1.2131944444444445</v>
      </c>
      <c r="M457"/>
    </row>
    <row r="458" spans="1:13" ht="15.75" thickBot="1">
      <c r="A458" s="157"/>
      <c r="B458" s="157"/>
      <c r="C458" s="157"/>
      <c r="D458" s="491" t="s">
        <v>1097</v>
      </c>
      <c r="E458" s="485">
        <v>287</v>
      </c>
      <c r="G458" s="486" t="s">
        <v>1243</v>
      </c>
      <c r="H458" s="135"/>
      <c r="I458" s="135"/>
      <c r="J458" s="135"/>
      <c r="K458" s="499">
        <v>7.4953703703703703E-2</v>
      </c>
      <c r="L458" s="493">
        <v>1.2145833333333333</v>
      </c>
      <c r="M458"/>
    </row>
    <row r="459" spans="1:13" ht="15.75" thickBot="1">
      <c r="A459" s="157"/>
      <c r="B459" s="157"/>
      <c r="C459" s="157"/>
      <c r="D459" s="491" t="s">
        <v>1099</v>
      </c>
      <c r="E459" s="485">
        <v>245</v>
      </c>
      <c r="F459" s="157"/>
      <c r="G459" s="486" t="s">
        <v>1244</v>
      </c>
      <c r="H459" s="135"/>
      <c r="I459" s="135"/>
      <c r="J459" s="135"/>
      <c r="K459" s="499">
        <v>7.4999999999999997E-2</v>
      </c>
      <c r="L459" s="493">
        <v>1.2173611111111111</v>
      </c>
      <c r="M459"/>
    </row>
    <row r="460" spans="1:13" ht="15.75" thickBot="1">
      <c r="A460" s="157"/>
      <c r="B460" s="157"/>
      <c r="C460" s="157"/>
      <c r="D460" s="491" t="s">
        <v>1100</v>
      </c>
      <c r="E460" s="485">
        <v>252</v>
      </c>
      <c r="G460" s="486"/>
      <c r="H460" s="135"/>
      <c r="I460" s="135"/>
      <c r="J460" s="135"/>
      <c r="K460" s="499">
        <v>7.5509259259259262E-2</v>
      </c>
      <c r="L460" s="493">
        <v>1.2479166666666666</v>
      </c>
      <c r="M460"/>
    </row>
    <row r="461" spans="1:13" ht="15.75" thickBot="1">
      <c r="A461" s="157"/>
      <c r="B461" s="157"/>
      <c r="C461" s="549"/>
      <c r="D461" s="550" t="s">
        <v>1102</v>
      </c>
      <c r="E461" s="551">
        <v>204</v>
      </c>
      <c r="F461" s="549"/>
      <c r="G461" s="552" t="s">
        <v>1245</v>
      </c>
      <c r="H461" s="553"/>
      <c r="I461" s="553"/>
      <c r="J461" s="553"/>
      <c r="K461" s="499">
        <v>7.5532407407407409E-2</v>
      </c>
      <c r="L461" s="554">
        <v>1.2493055555555557</v>
      </c>
      <c r="M461" s="549"/>
    </row>
    <row r="462" spans="1:13" ht="15.75" thickBot="1">
      <c r="A462" s="157"/>
      <c r="B462" s="157"/>
      <c r="C462" s="157"/>
      <c r="D462" s="491" t="s">
        <v>1103</v>
      </c>
      <c r="E462" s="485">
        <v>254</v>
      </c>
      <c r="G462" s="486"/>
      <c r="H462" s="135"/>
      <c r="I462" s="135"/>
      <c r="J462" s="135"/>
      <c r="K462" s="499">
        <v>7.6655092592592594E-2</v>
      </c>
      <c r="L462" s="493">
        <v>1.3166666666666667</v>
      </c>
      <c r="M462"/>
    </row>
    <row r="463" spans="1:13" ht="15.75" thickBot="1">
      <c r="A463" s="157"/>
      <c r="B463" s="157"/>
      <c r="C463" s="157"/>
      <c r="D463" s="491" t="s">
        <v>1105</v>
      </c>
      <c r="E463" s="485">
        <v>288</v>
      </c>
      <c r="F463" s="157"/>
      <c r="G463" s="486" t="s">
        <v>1146</v>
      </c>
      <c r="H463" s="135"/>
      <c r="I463" s="135"/>
      <c r="J463" s="135"/>
      <c r="K463" s="499">
        <v>7.6805555555555557E-2</v>
      </c>
      <c r="L463" s="493">
        <v>1.3256944444444445</v>
      </c>
      <c r="M463"/>
    </row>
    <row r="464" spans="1:13" ht="15.75" thickBot="1">
      <c r="A464" s="157"/>
      <c r="B464" s="157"/>
      <c r="C464" s="157"/>
      <c r="D464" s="491" t="s">
        <v>1107</v>
      </c>
      <c r="E464" s="485">
        <v>235</v>
      </c>
      <c r="G464" s="486" t="s">
        <v>1246</v>
      </c>
      <c r="H464" s="135"/>
      <c r="I464" s="135"/>
      <c r="J464" s="135"/>
      <c r="K464" s="499">
        <v>7.7141203703703712E-2</v>
      </c>
      <c r="L464" s="493">
        <v>1.3458333333333332</v>
      </c>
      <c r="M464"/>
    </row>
    <row r="465" spans="3:13" ht="15.75" thickBot="1">
      <c r="C465" s="549"/>
      <c r="D465" s="550" t="s">
        <v>1109</v>
      </c>
      <c r="E465" s="551">
        <v>246</v>
      </c>
      <c r="F465" s="549"/>
      <c r="G465" s="552" t="s">
        <v>1247</v>
      </c>
      <c r="H465" s="553"/>
      <c r="I465" s="553"/>
      <c r="J465" s="553"/>
      <c r="K465" s="499">
        <v>7.7314814814814822E-2</v>
      </c>
      <c r="L465" s="554">
        <v>1.35625</v>
      </c>
      <c r="M465" s="549"/>
    </row>
    <row r="466" spans="3:13" ht="15.75" thickBot="1">
      <c r="D466" s="491" t="s">
        <v>1111</v>
      </c>
      <c r="E466" s="485">
        <v>247</v>
      </c>
      <c r="G466" s="486" t="s">
        <v>1248</v>
      </c>
      <c r="H466" s="135"/>
      <c r="I466" s="135"/>
      <c r="J466" s="135"/>
      <c r="K466" s="499">
        <v>7.7604166666666669E-2</v>
      </c>
      <c r="L466" s="493">
        <v>1.3736111111111111</v>
      </c>
      <c r="M466"/>
    </row>
    <row r="467" spans="3:13" ht="15.75" thickBot="1">
      <c r="D467" s="491" t="s">
        <v>1113</v>
      </c>
      <c r="E467" s="485">
        <v>236</v>
      </c>
      <c r="G467" s="486" t="s">
        <v>1141</v>
      </c>
      <c r="K467" s="499">
        <v>7.7604166666666669E-2</v>
      </c>
      <c r="L467" s="493">
        <v>1.3736111111111111</v>
      </c>
      <c r="M467"/>
    </row>
    <row r="468" spans="3:13" ht="15.75" thickBot="1">
      <c r="D468" s="491" t="s">
        <v>1114</v>
      </c>
      <c r="E468" s="485">
        <v>227</v>
      </c>
      <c r="G468" s="486" t="s">
        <v>1249</v>
      </c>
      <c r="K468" s="499">
        <v>7.8009259259259264E-2</v>
      </c>
      <c r="L468" s="493">
        <v>1.3979166666666665</v>
      </c>
      <c r="M468"/>
    </row>
    <row r="469" spans="3:13" ht="15.75" thickBot="1">
      <c r="D469" s="491" t="s">
        <v>1115</v>
      </c>
      <c r="E469" s="485">
        <v>256</v>
      </c>
      <c r="G469" s="486" t="s">
        <v>1250</v>
      </c>
      <c r="K469" s="499">
        <v>7.8657407407407412E-2</v>
      </c>
      <c r="L469" s="493">
        <v>1.4368055555555557</v>
      </c>
      <c r="M469"/>
    </row>
    <row r="470" spans="3:13" ht="15.75" thickBot="1">
      <c r="D470" s="491" t="s">
        <v>1215</v>
      </c>
      <c r="E470" s="485">
        <v>222</v>
      </c>
      <c r="G470" s="486" t="s">
        <v>1251</v>
      </c>
      <c r="K470" s="499">
        <v>7.8912037037037031E-2</v>
      </c>
      <c r="L470" s="493">
        <v>1.4520833333333334</v>
      </c>
      <c r="M470"/>
    </row>
    <row r="471" spans="3:13" ht="15.75" thickBot="1">
      <c r="D471" s="491" t="s">
        <v>1216</v>
      </c>
      <c r="E471" s="485">
        <v>211</v>
      </c>
      <c r="G471" s="486" t="s">
        <v>1252</v>
      </c>
      <c r="K471" s="499">
        <v>7.9293981481481479E-2</v>
      </c>
      <c r="L471" s="493">
        <v>1.4749999999999999</v>
      </c>
      <c r="M471"/>
    </row>
    <row r="472" spans="3:13" ht="15.75" thickBot="1">
      <c r="D472" s="491" t="s">
        <v>1217</v>
      </c>
      <c r="E472" s="485">
        <v>293</v>
      </c>
      <c r="G472" s="486" t="s">
        <v>1253</v>
      </c>
      <c r="K472" s="499">
        <v>8.0555555555555561E-2</v>
      </c>
      <c r="L472" s="493">
        <v>1.5506944444444446</v>
      </c>
      <c r="M472"/>
    </row>
    <row r="473" spans="3:13" ht="15.75" thickBot="1">
      <c r="D473" s="491" t="s">
        <v>1218</v>
      </c>
      <c r="E473" s="485">
        <v>237</v>
      </c>
      <c r="G473" s="486" t="s">
        <v>371</v>
      </c>
      <c r="K473" s="499">
        <v>8.0682870370370363E-2</v>
      </c>
      <c r="L473" s="493">
        <v>1.5583333333333333</v>
      </c>
      <c r="M473"/>
    </row>
    <row r="474" spans="3:13" ht="15.75" thickBot="1">
      <c r="D474" s="491" t="s">
        <v>1219</v>
      </c>
      <c r="E474" s="485">
        <v>209</v>
      </c>
      <c r="G474" s="486" t="s">
        <v>1254</v>
      </c>
      <c r="K474" s="499">
        <v>8.0844907407407407E-2</v>
      </c>
      <c r="L474" s="493">
        <v>1.5680555555555555</v>
      </c>
      <c r="M474"/>
    </row>
    <row r="475" spans="3:13" ht="15.75" thickBot="1">
      <c r="D475" s="491" t="s">
        <v>1220</v>
      </c>
      <c r="E475" s="485">
        <v>215</v>
      </c>
      <c r="G475" s="486" t="s">
        <v>1255</v>
      </c>
      <c r="K475" s="499">
        <v>8.1157407407407414E-2</v>
      </c>
      <c r="L475" s="493">
        <v>1.5868055555555556</v>
      </c>
      <c r="M475"/>
    </row>
    <row r="476" spans="3:13" ht="15.75" thickBot="1">
      <c r="D476" s="491" t="s">
        <v>1221</v>
      </c>
      <c r="E476" s="485">
        <v>244</v>
      </c>
      <c r="F476" s="157"/>
      <c r="G476" s="486" t="s">
        <v>1256</v>
      </c>
      <c r="H476" s="135"/>
      <c r="I476" s="135"/>
      <c r="K476" s="499">
        <v>8.1342592592592591E-2</v>
      </c>
      <c r="L476" s="493">
        <v>1.5979166666666667</v>
      </c>
      <c r="M476"/>
    </row>
    <row r="477" spans="3:13" ht="15.75" thickBot="1">
      <c r="D477" s="491" t="s">
        <v>1222</v>
      </c>
      <c r="E477" s="485">
        <v>253</v>
      </c>
      <c r="G477" s="486"/>
      <c r="K477" s="499">
        <v>8.1388888888888886E-2</v>
      </c>
      <c r="L477" s="493">
        <v>1.6006944444444444</v>
      </c>
      <c r="M477"/>
    </row>
    <row r="478" spans="3:13" ht="15.75" thickBot="1">
      <c r="D478" s="491" t="s">
        <v>1223</v>
      </c>
      <c r="E478" s="485">
        <v>241</v>
      </c>
      <c r="G478" s="486" t="s">
        <v>1257</v>
      </c>
      <c r="K478" s="499">
        <v>8.2129629629629622E-2</v>
      </c>
      <c r="L478" s="493">
        <v>1.6451388888888889</v>
      </c>
      <c r="M478"/>
    </row>
    <row r="479" spans="3:13" ht="15.75" thickBot="1">
      <c r="D479" s="491" t="s">
        <v>1224</v>
      </c>
      <c r="E479" s="485">
        <v>232</v>
      </c>
      <c r="G479" s="486" t="s">
        <v>1145</v>
      </c>
      <c r="K479" s="499">
        <v>8.2673611111111114E-2</v>
      </c>
      <c r="L479" s="493">
        <v>1.6777777777777778</v>
      </c>
      <c r="M479"/>
    </row>
    <row r="480" spans="3:13" ht="15.75" thickBot="1">
      <c r="D480" s="491" t="s">
        <v>1225</v>
      </c>
      <c r="E480" s="485">
        <v>221</v>
      </c>
      <c r="G480" s="486" t="s">
        <v>1258</v>
      </c>
      <c r="K480" s="499">
        <v>8.324074074074074E-2</v>
      </c>
      <c r="L480" s="493">
        <v>1.7118055555555556</v>
      </c>
      <c r="M480"/>
    </row>
    <row r="481" spans="3:13" ht="15.75" thickBot="1">
      <c r="D481" s="491" t="s">
        <v>1226</v>
      </c>
      <c r="E481" s="485">
        <v>205</v>
      </c>
      <c r="G481" s="486" t="s">
        <v>1259</v>
      </c>
      <c r="K481" s="499">
        <v>8.3599537037037042E-2</v>
      </c>
      <c r="L481" s="493">
        <v>1.7333333333333334</v>
      </c>
      <c r="M481"/>
    </row>
    <row r="482" spans="3:13" ht="15.75" thickBot="1">
      <c r="D482" s="491" t="s">
        <v>1227</v>
      </c>
      <c r="E482" s="485">
        <v>230</v>
      </c>
      <c r="G482" s="486" t="s">
        <v>1260</v>
      </c>
      <c r="K482" s="499">
        <v>8.3912037037037035E-2</v>
      </c>
      <c r="L482" s="493">
        <v>1.7520833333333332</v>
      </c>
      <c r="M482"/>
    </row>
    <row r="483" spans="3:13" ht="15.75" thickBot="1">
      <c r="D483" s="491" t="s">
        <v>1228</v>
      </c>
      <c r="E483" s="485">
        <v>240</v>
      </c>
      <c r="G483" s="486" t="s">
        <v>1261</v>
      </c>
      <c r="K483" s="499">
        <v>8.4398148148148153E-2</v>
      </c>
      <c r="L483" s="493">
        <v>1.78125</v>
      </c>
      <c r="M483"/>
    </row>
    <row r="484" spans="3:13" ht="15.75" thickBot="1">
      <c r="D484" s="491" t="s">
        <v>1229</v>
      </c>
      <c r="E484" s="485">
        <v>251</v>
      </c>
      <c r="G484" s="486" t="s">
        <v>1262</v>
      </c>
      <c r="K484" s="499">
        <v>8.5185185185185183E-2</v>
      </c>
      <c r="L484" s="493">
        <v>1.8284722222222223</v>
      </c>
      <c r="M484"/>
    </row>
    <row r="485" spans="3:13" ht="15.75" thickBot="1">
      <c r="D485" s="491" t="s">
        <v>1230</v>
      </c>
      <c r="E485" s="485">
        <v>225</v>
      </c>
      <c r="G485" s="486" t="s">
        <v>1263</v>
      </c>
      <c r="K485" s="499">
        <v>8.5613425925925926E-2</v>
      </c>
      <c r="L485" s="493">
        <v>1.8541666666666667</v>
      </c>
      <c r="M485"/>
    </row>
    <row r="486" spans="3:13" ht="15.75" thickBot="1">
      <c r="D486" s="491" t="s">
        <v>1297</v>
      </c>
      <c r="E486" s="485">
        <v>242</v>
      </c>
      <c r="G486" s="486" t="s">
        <v>1264</v>
      </c>
      <c r="K486" s="499">
        <v>8.68287037037037E-2</v>
      </c>
      <c r="L486" s="493">
        <v>1.9270833333333333</v>
      </c>
      <c r="M486"/>
    </row>
    <row r="487" spans="3:13" ht="15.75" thickBot="1">
      <c r="D487" s="494" t="s">
        <v>1298</v>
      </c>
      <c r="E487" s="495">
        <v>233</v>
      </c>
      <c r="G487" s="496" t="s">
        <v>1098</v>
      </c>
      <c r="K487" s="500">
        <v>8.8032407407407406E-2</v>
      </c>
      <c r="L487" s="497">
        <v>1.9993055555555557</v>
      </c>
      <c r="M487"/>
    </row>
    <row r="490" spans="3:13" ht="23.25">
      <c r="C490" s="636"/>
      <c r="D490" s="635" t="s">
        <v>1354</v>
      </c>
      <c r="E490" s="636"/>
      <c r="F490" s="636"/>
      <c r="G490" s="636"/>
      <c r="H490" s="637"/>
      <c r="I490" s="637"/>
      <c r="J490" s="637"/>
      <c r="K490" s="635" t="s">
        <v>1355</v>
      </c>
      <c r="L490" s="637"/>
      <c r="M490" s="637"/>
    </row>
    <row r="491" spans="3:13" ht="23.25">
      <c r="D491" s="20"/>
      <c r="G491" s="511" t="s">
        <v>1356</v>
      </c>
      <c r="H491" s="135"/>
      <c r="I491" s="135"/>
      <c r="J491" s="135"/>
      <c r="K491" s="20"/>
    </row>
    <row r="492" spans="3:13">
      <c r="C492" s="243"/>
      <c r="D492" s="503" t="s">
        <v>0</v>
      </c>
      <c r="E492" s="504" t="s">
        <v>1</v>
      </c>
      <c r="F492" s="504"/>
      <c r="G492" s="504" t="s">
        <v>3</v>
      </c>
      <c r="H492" s="504"/>
      <c r="I492" s="504"/>
      <c r="J492" s="504"/>
      <c r="K492" s="504" t="s">
        <v>12</v>
      </c>
      <c r="L492" s="504" t="s">
        <v>1117</v>
      </c>
    </row>
    <row r="493" spans="3:13" ht="15.75" thickBot="1">
      <c r="C493" s="157"/>
      <c r="D493" s="501"/>
      <c r="E493" s="502"/>
      <c r="F493" s="502"/>
      <c r="G493" s="502"/>
      <c r="H493" s="502"/>
      <c r="I493" s="502"/>
      <c r="J493" s="502"/>
      <c r="K493" s="502"/>
      <c r="L493" s="157"/>
    </row>
    <row r="494" spans="3:13" ht="15.75" thickBot="1">
      <c r="D494" s="487" t="s">
        <v>1045</v>
      </c>
      <c r="E494" s="488">
        <v>201</v>
      </c>
      <c r="G494" s="489" t="s">
        <v>1200</v>
      </c>
      <c r="K494" s="498">
        <v>5.4710648148148154E-2</v>
      </c>
      <c r="L494" s="490"/>
      <c r="M494"/>
    </row>
    <row r="495" spans="3:13" ht="15.75" thickBot="1">
      <c r="D495" s="491" t="s">
        <v>1047</v>
      </c>
      <c r="E495" s="485">
        <v>200</v>
      </c>
      <c r="G495" s="486" t="s">
        <v>1134</v>
      </c>
      <c r="K495" s="499">
        <v>5.7465277777777775E-2</v>
      </c>
      <c r="L495" s="492">
        <v>0.16527777777777777</v>
      </c>
      <c r="M495"/>
    </row>
    <row r="496" spans="3:13" ht="15.75" thickBot="1">
      <c r="D496" s="491" t="s">
        <v>1049</v>
      </c>
      <c r="E496" s="485">
        <v>218</v>
      </c>
      <c r="G496" s="486" t="s">
        <v>1140</v>
      </c>
      <c r="K496" s="499">
        <v>5.9513888888888887E-2</v>
      </c>
      <c r="L496" s="492">
        <v>0.28819444444444448</v>
      </c>
      <c r="M496"/>
    </row>
    <row r="497" spans="3:13" ht="15.75" thickBot="1">
      <c r="D497" s="696" t="s">
        <v>1050</v>
      </c>
      <c r="E497" s="697">
        <v>219</v>
      </c>
      <c r="F497" s="157"/>
      <c r="G497" s="698" t="s">
        <v>1201</v>
      </c>
      <c r="H497" s="135"/>
      <c r="I497" s="135"/>
      <c r="J497" s="135"/>
      <c r="K497" s="499">
        <v>6.1273148148148153E-2</v>
      </c>
      <c r="L497" s="700">
        <v>0.39374999999999999</v>
      </c>
      <c r="M497"/>
    </row>
    <row r="498" spans="3:13" ht="15.75" thickBot="1">
      <c r="D498" s="491" t="s">
        <v>1052</v>
      </c>
      <c r="E498" s="485">
        <v>229</v>
      </c>
      <c r="G498" s="486" t="s">
        <v>1202</v>
      </c>
      <c r="K498" s="499">
        <v>6.3078703703703706E-2</v>
      </c>
      <c r="L498" s="492">
        <v>0.50208333333333333</v>
      </c>
      <c r="M498"/>
    </row>
    <row r="499" spans="3:13" ht="15.75" thickBot="1">
      <c r="D499" s="491" t="s">
        <v>1053</v>
      </c>
      <c r="E499" s="485">
        <v>226</v>
      </c>
      <c r="G499" s="486" t="s">
        <v>1203</v>
      </c>
      <c r="K499" s="499">
        <v>6.3148148148148148E-2</v>
      </c>
      <c r="L499" s="492">
        <v>0.50624999999999998</v>
      </c>
      <c r="M499"/>
    </row>
    <row r="500" spans="3:13" ht="15.75" thickBot="1">
      <c r="D500" s="491" t="s">
        <v>1055</v>
      </c>
      <c r="E500" s="485">
        <v>238</v>
      </c>
      <c r="G500" s="486" t="s">
        <v>1204</v>
      </c>
      <c r="K500" s="499">
        <v>6.3194444444444442E-2</v>
      </c>
      <c r="L500" s="492">
        <v>0.50902777777777775</v>
      </c>
      <c r="M500"/>
    </row>
    <row r="501" spans="3:13" ht="15.75" thickBot="1">
      <c r="D501" s="491" t="s">
        <v>1057</v>
      </c>
      <c r="E501" s="485">
        <v>250</v>
      </c>
      <c r="G501" s="486" t="s">
        <v>1205</v>
      </c>
      <c r="K501" s="499">
        <v>6.4444444444444443E-2</v>
      </c>
      <c r="L501" s="492">
        <v>0.58402777777777781</v>
      </c>
      <c r="M501"/>
    </row>
    <row r="502" spans="3:13" ht="15.75" thickBot="1">
      <c r="D502" s="491" t="s">
        <v>1059</v>
      </c>
      <c r="E502" s="485">
        <v>228</v>
      </c>
      <c r="G502" s="486" t="s">
        <v>1206</v>
      </c>
      <c r="K502" s="499">
        <v>6.4548611111111112E-2</v>
      </c>
      <c r="L502" s="492">
        <v>0.59027777777777779</v>
      </c>
      <c r="M502"/>
    </row>
    <row r="503" spans="3:13" ht="15.75" thickBot="1">
      <c r="D503" s="491" t="s">
        <v>1061</v>
      </c>
      <c r="E503" s="485">
        <v>248</v>
      </c>
      <c r="G503" s="486" t="s">
        <v>1207</v>
      </c>
      <c r="K503" s="499">
        <v>6.5057870370370363E-2</v>
      </c>
      <c r="L503" s="492">
        <v>0.62083333333333335</v>
      </c>
      <c r="M503"/>
    </row>
    <row r="504" spans="3:13" ht="15.75" thickBot="1">
      <c r="D504" s="491" t="s">
        <v>1063</v>
      </c>
      <c r="E504" s="485">
        <v>239</v>
      </c>
      <c r="G504" s="486" t="s">
        <v>1208</v>
      </c>
      <c r="K504" s="499">
        <v>6.5405092592592584E-2</v>
      </c>
      <c r="L504" s="492">
        <v>0.64166666666666672</v>
      </c>
      <c r="M504"/>
    </row>
    <row r="505" spans="3:13" ht="15.75" thickBot="1">
      <c r="D505" s="491" t="s">
        <v>1065</v>
      </c>
      <c r="E505" s="485">
        <v>292</v>
      </c>
      <c r="G505" s="486" t="s">
        <v>1209</v>
      </c>
      <c r="K505" s="499">
        <v>6.5625000000000003E-2</v>
      </c>
      <c r="L505" s="492">
        <v>0.65486111111111112</v>
      </c>
      <c r="M505"/>
    </row>
    <row r="506" spans="3:13" ht="15.75" thickBot="1">
      <c r="D506" s="491" t="s">
        <v>1067</v>
      </c>
      <c r="E506" s="485">
        <v>269</v>
      </c>
      <c r="G506" s="486"/>
      <c r="H506" s="135"/>
      <c r="I506" s="135"/>
      <c r="J506" s="135"/>
      <c r="K506" s="499">
        <v>6.621527777777779E-2</v>
      </c>
      <c r="L506" s="492">
        <v>0.69027777777777777</v>
      </c>
      <c r="M506"/>
    </row>
    <row r="507" spans="3:13" ht="15.75" thickBot="1">
      <c r="D507" s="491" t="s">
        <v>1068</v>
      </c>
      <c r="E507" s="485">
        <v>202</v>
      </c>
      <c r="G507" s="486" t="s">
        <v>1210</v>
      </c>
      <c r="H507" s="135"/>
      <c r="I507" s="135"/>
      <c r="J507" s="135"/>
      <c r="K507" s="499">
        <v>6.8298611111111115E-2</v>
      </c>
      <c r="L507" s="492">
        <v>0.81527777777777777</v>
      </c>
      <c r="M507"/>
    </row>
    <row r="508" spans="3:13" ht="15.75" thickBot="1">
      <c r="C508" s="157"/>
      <c r="D508" s="491" t="s">
        <v>1070</v>
      </c>
      <c r="E508" s="485">
        <v>295</v>
      </c>
      <c r="F508" s="566"/>
      <c r="G508" s="486" t="s">
        <v>1211</v>
      </c>
      <c r="H508" s="563"/>
      <c r="I508" s="563"/>
      <c r="J508" s="564"/>
      <c r="K508" s="499">
        <v>6.8356481481481476E-2</v>
      </c>
      <c r="L508" s="492">
        <v>0.81874999999999998</v>
      </c>
      <c r="M508"/>
    </row>
    <row r="509" spans="3:13" ht="15.75" thickBot="1">
      <c r="C509" s="157"/>
      <c r="D509" s="491" t="s">
        <v>1072</v>
      </c>
      <c r="E509" s="485">
        <v>268</v>
      </c>
      <c r="G509" s="486"/>
      <c r="H509" s="135"/>
      <c r="I509" s="135"/>
      <c r="J509" s="135"/>
      <c r="K509" s="499">
        <v>6.8391203703703704E-2</v>
      </c>
      <c r="L509" s="492">
        <v>0.8208333333333333</v>
      </c>
      <c r="M509"/>
    </row>
    <row r="510" spans="3:13" ht="15.75" thickBot="1">
      <c r="C510" s="244"/>
      <c r="D510" s="505" t="s">
        <v>1073</v>
      </c>
      <c r="E510" s="506">
        <v>243</v>
      </c>
      <c r="F510" s="244"/>
      <c r="G510" s="508" t="s">
        <v>1212</v>
      </c>
      <c r="H510" s="186"/>
      <c r="I510" s="186"/>
      <c r="J510" s="186"/>
      <c r="K510" s="509">
        <v>6.8634259259259256E-2</v>
      </c>
      <c r="L510" s="510">
        <v>0.8354166666666667</v>
      </c>
      <c r="M510" s="507"/>
    </row>
    <row r="511" spans="3:13" ht="15.75" thickBot="1">
      <c r="C511" s="157"/>
      <c r="D511" s="491" t="s">
        <v>1075</v>
      </c>
      <c r="E511" s="485">
        <v>214</v>
      </c>
      <c r="G511" s="486" t="s">
        <v>1233</v>
      </c>
      <c r="H511" s="135"/>
      <c r="I511" s="135"/>
      <c r="J511" s="135"/>
      <c r="K511" s="499">
        <v>6.9432870370370367E-2</v>
      </c>
      <c r="L511" s="492">
        <v>0.8833333333333333</v>
      </c>
      <c r="M511"/>
    </row>
    <row r="512" spans="3:13" ht="15.75" thickBot="1">
      <c r="C512" s="157"/>
      <c r="D512" s="491" t="s">
        <v>1076</v>
      </c>
      <c r="E512" s="485">
        <v>212</v>
      </c>
      <c r="G512" s="486" t="s">
        <v>1234</v>
      </c>
      <c r="H512" s="135"/>
      <c r="I512" s="135"/>
      <c r="J512" s="135"/>
      <c r="K512" s="499">
        <v>7.059027777777778E-2</v>
      </c>
      <c r="L512" s="492">
        <v>0.95277777777777783</v>
      </c>
      <c r="M512"/>
    </row>
    <row r="513" spans="3:13" ht="15.75" thickBot="1">
      <c r="C513" s="157"/>
      <c r="D513" s="491" t="s">
        <v>1078</v>
      </c>
      <c r="E513" s="485">
        <v>291</v>
      </c>
      <c r="G513" s="486" t="s">
        <v>1138</v>
      </c>
      <c r="H513" s="135"/>
      <c r="I513" s="135"/>
      <c r="J513" s="135"/>
      <c r="K513" s="499">
        <v>7.0694444444444449E-2</v>
      </c>
      <c r="L513" s="492">
        <v>0.9590277777777777</v>
      </c>
      <c r="M513"/>
    </row>
    <row r="514" spans="3:13" ht="15.75" thickBot="1">
      <c r="C514" s="157"/>
      <c r="D514" s="491" t="s">
        <v>1080</v>
      </c>
      <c r="E514" s="485">
        <v>289</v>
      </c>
      <c r="G514" s="486" t="s">
        <v>540</v>
      </c>
      <c r="H514" s="135"/>
      <c r="I514" s="135"/>
      <c r="J514" s="135"/>
      <c r="K514" s="499">
        <v>7.076388888888889E-2</v>
      </c>
      <c r="L514" s="492">
        <v>0.96319444444444446</v>
      </c>
      <c r="M514"/>
    </row>
    <row r="515" spans="3:13" ht="15.75" thickBot="1">
      <c r="C515" s="157"/>
      <c r="D515" s="491" t="s">
        <v>1081</v>
      </c>
      <c r="E515" s="485">
        <v>223</v>
      </c>
      <c r="G515" s="486" t="s">
        <v>1235</v>
      </c>
      <c r="H515" s="135"/>
      <c r="I515" s="135"/>
      <c r="J515" s="135"/>
      <c r="K515" s="499">
        <v>7.1712962962962964E-2</v>
      </c>
      <c r="L515" s="493">
        <v>1.0201388888888889</v>
      </c>
      <c r="M515"/>
    </row>
    <row r="516" spans="3:13" ht="15.75" thickBot="1">
      <c r="C516" s="565"/>
      <c r="D516" s="491" t="s">
        <v>1083</v>
      </c>
      <c r="E516" s="485">
        <v>210</v>
      </c>
      <c r="F516" s="565"/>
      <c r="G516" s="486" t="s">
        <v>1236</v>
      </c>
      <c r="H516" s="564"/>
      <c r="I516" s="564"/>
      <c r="J516" s="564"/>
      <c r="K516" s="499">
        <v>7.1770833333333339E-2</v>
      </c>
      <c r="L516" s="493">
        <v>1.023611111111111</v>
      </c>
      <c r="M516"/>
    </row>
    <row r="517" spans="3:13" ht="15.75" thickBot="1">
      <c r="C517" s="157"/>
      <c r="D517" s="491" t="s">
        <v>1084</v>
      </c>
      <c r="E517" s="485">
        <v>231</v>
      </c>
      <c r="G517" s="486" t="s">
        <v>1237</v>
      </c>
      <c r="H517" s="135"/>
      <c r="I517" s="135"/>
      <c r="J517" s="135"/>
      <c r="K517" s="499">
        <v>7.2430555555555554E-2</v>
      </c>
      <c r="L517" s="493">
        <v>1.0631944444444443</v>
      </c>
      <c r="M517"/>
    </row>
    <row r="518" spans="3:13" ht="15.75" thickBot="1">
      <c r="C518" s="157"/>
      <c r="D518" s="696" t="s">
        <v>1085</v>
      </c>
      <c r="E518" s="697">
        <v>208</v>
      </c>
      <c r="F518" s="157"/>
      <c r="G518" s="698" t="s">
        <v>1232</v>
      </c>
      <c r="H518" s="135"/>
      <c r="I518" s="135"/>
      <c r="J518" s="135"/>
      <c r="K518" s="499">
        <v>7.2592592592592597E-2</v>
      </c>
      <c r="L518" s="699">
        <v>1.0729166666666667</v>
      </c>
      <c r="M518" s="157"/>
    </row>
    <row r="519" spans="3:13" ht="15.75" thickBot="1">
      <c r="C519" s="157"/>
      <c r="D519" s="696" t="s">
        <v>1087</v>
      </c>
      <c r="E519" s="697">
        <v>216</v>
      </c>
      <c r="F519" s="157"/>
      <c r="G519" s="698" t="s">
        <v>1238</v>
      </c>
      <c r="H519" s="135"/>
      <c r="I519" s="135"/>
      <c r="J519" s="135"/>
      <c r="K519" s="499">
        <v>7.273148148148148E-2</v>
      </c>
      <c r="L519" s="699">
        <v>1.08125</v>
      </c>
      <c r="M519" s="157"/>
    </row>
    <row r="520" spans="3:13" ht="15.75" thickBot="1">
      <c r="C520" s="157"/>
      <c r="D520" s="696" t="s">
        <v>1088</v>
      </c>
      <c r="E520" s="697">
        <v>290</v>
      </c>
      <c r="F520" s="157"/>
      <c r="G520" s="698" t="s">
        <v>713</v>
      </c>
      <c r="H520" s="135"/>
      <c r="I520" s="135"/>
      <c r="J520" s="135"/>
      <c r="K520" s="499">
        <v>7.3020833333333326E-2</v>
      </c>
      <c r="L520" s="699">
        <v>1.0986111111111112</v>
      </c>
      <c r="M520" s="157"/>
    </row>
    <row r="521" spans="3:13" ht="15.75" thickBot="1">
      <c r="C521" s="157"/>
      <c r="D521" s="696" t="s">
        <v>1089</v>
      </c>
      <c r="E521" s="697">
        <v>286</v>
      </c>
      <c r="F521" s="157"/>
      <c r="G521" s="698" t="s">
        <v>649</v>
      </c>
      <c r="H521" s="135"/>
      <c r="I521" s="135"/>
      <c r="J521" s="135"/>
      <c r="K521" s="499">
        <v>7.3101851851851848E-2</v>
      </c>
      <c r="L521" s="699">
        <v>1.1034722222222222</v>
      </c>
      <c r="M521" s="157"/>
    </row>
    <row r="522" spans="3:13" ht="15.75" thickBot="1">
      <c r="C522" s="157"/>
      <c r="D522" s="696" t="s">
        <v>1091</v>
      </c>
      <c r="E522" s="697">
        <v>217</v>
      </c>
      <c r="F522" s="157"/>
      <c r="G522" s="698" t="s">
        <v>1239</v>
      </c>
      <c r="H522" s="135"/>
      <c r="I522" s="135"/>
      <c r="J522" s="135"/>
      <c r="K522" s="499">
        <v>7.3506944444444444E-2</v>
      </c>
      <c r="L522" s="699">
        <v>1.1277777777777778</v>
      </c>
      <c r="M522" s="157"/>
    </row>
    <row r="523" spans="3:13" ht="15.75" thickBot="1">
      <c r="C523" s="157"/>
      <c r="D523" s="696" t="s">
        <v>1092</v>
      </c>
      <c r="E523" s="697">
        <v>207</v>
      </c>
      <c r="F523" s="157"/>
      <c r="G523" s="698" t="s">
        <v>1240</v>
      </c>
      <c r="H523" s="135"/>
      <c r="I523" s="135"/>
      <c r="J523" s="135"/>
      <c r="K523" s="499">
        <v>7.4050925925925923E-2</v>
      </c>
      <c r="L523" s="699">
        <v>1.1604166666666667</v>
      </c>
      <c r="M523" s="157"/>
    </row>
    <row r="524" spans="3:13" ht="15.75" thickBot="1">
      <c r="C524" s="157"/>
      <c r="D524" s="696" t="s">
        <v>1093</v>
      </c>
      <c r="E524" s="697">
        <v>255</v>
      </c>
      <c r="F524" s="157"/>
      <c r="G524" s="698" t="s">
        <v>1241</v>
      </c>
      <c r="H524" s="135"/>
      <c r="I524" s="135"/>
      <c r="J524" s="135"/>
      <c r="K524" s="499">
        <v>7.4756944444444445E-2</v>
      </c>
      <c r="L524" s="699">
        <v>1.2027777777777777</v>
      </c>
      <c r="M524" s="157"/>
    </row>
    <row r="525" spans="3:13" ht="15.75" thickBot="1">
      <c r="C525" s="157"/>
      <c r="D525" s="696" t="s">
        <v>1094</v>
      </c>
      <c r="E525" s="697">
        <v>213</v>
      </c>
      <c r="F525" s="157"/>
      <c r="G525" s="698" t="s">
        <v>1233</v>
      </c>
      <c r="H525" s="135"/>
      <c r="I525" s="135"/>
      <c r="J525" s="135"/>
      <c r="K525" s="499">
        <v>7.481481481481482E-2</v>
      </c>
      <c r="L525" s="699">
        <v>1.20625</v>
      </c>
      <c r="M525" s="157"/>
    </row>
    <row r="526" spans="3:13" ht="15.75" thickBot="1">
      <c r="C526" s="157"/>
      <c r="D526" s="696" t="s">
        <v>1095</v>
      </c>
      <c r="E526" s="697">
        <v>234</v>
      </c>
      <c r="F526" s="157"/>
      <c r="G526" s="698" t="s">
        <v>1231</v>
      </c>
      <c r="H526" s="135"/>
      <c r="I526" s="135"/>
      <c r="J526" s="135"/>
      <c r="K526" s="499">
        <v>7.4837962962962967E-2</v>
      </c>
      <c r="L526" s="699">
        <v>1.2076388888888889</v>
      </c>
      <c r="M526" s="157"/>
    </row>
    <row r="527" spans="3:13" ht="15.75" thickBot="1">
      <c r="C527" s="157"/>
      <c r="D527" s="696" t="s">
        <v>1096</v>
      </c>
      <c r="E527" s="697">
        <v>224</v>
      </c>
      <c r="F527" s="157"/>
      <c r="G527" s="698" t="s">
        <v>1242</v>
      </c>
      <c r="H527" s="135"/>
      <c r="I527" s="135"/>
      <c r="J527" s="135"/>
      <c r="K527" s="499">
        <v>7.4930555555555556E-2</v>
      </c>
      <c r="L527" s="699">
        <v>1.2131944444444445</v>
      </c>
      <c r="M527" s="157"/>
    </row>
    <row r="528" spans="3:13" ht="15.75" thickBot="1">
      <c r="C528" s="157"/>
      <c r="D528" s="696" t="s">
        <v>1097</v>
      </c>
      <c r="E528" s="697">
        <v>287</v>
      </c>
      <c r="F528" s="157"/>
      <c r="G528" s="698" t="s">
        <v>1243</v>
      </c>
      <c r="H528" s="135"/>
      <c r="I528" s="135"/>
      <c r="J528" s="135"/>
      <c r="K528" s="499">
        <v>7.4953703703703703E-2</v>
      </c>
      <c r="L528" s="699">
        <v>1.2145833333333333</v>
      </c>
      <c r="M528" s="157"/>
    </row>
    <row r="529" spans="3:13" ht="15.75" thickBot="1">
      <c r="C529" s="157"/>
      <c r="D529" s="696" t="s">
        <v>1099</v>
      </c>
      <c r="E529" s="697">
        <v>245</v>
      </c>
      <c r="F529" s="157"/>
      <c r="G529" s="698" t="s">
        <v>1244</v>
      </c>
      <c r="H529" s="135"/>
      <c r="I529" s="135"/>
      <c r="J529" s="135"/>
      <c r="K529" s="499">
        <v>7.4999999999999997E-2</v>
      </c>
      <c r="L529" s="699">
        <v>1.2173611111111111</v>
      </c>
      <c r="M529" s="157"/>
    </row>
    <row r="530" spans="3:13" ht="15.75" thickBot="1">
      <c r="C530" s="157"/>
      <c r="D530" s="696" t="s">
        <v>1100</v>
      </c>
      <c r="E530" s="697">
        <v>252</v>
      </c>
      <c r="F530" s="157"/>
      <c r="G530" s="698"/>
      <c r="H530" s="135"/>
      <c r="I530" s="135"/>
      <c r="J530" s="135"/>
      <c r="K530" s="499">
        <v>7.5509259259259262E-2</v>
      </c>
      <c r="L530" s="699">
        <v>1.2479166666666666</v>
      </c>
      <c r="M530" s="157"/>
    </row>
    <row r="531" spans="3:13" ht="15.75" thickBot="1">
      <c r="C531" s="157"/>
      <c r="D531" s="696" t="s">
        <v>1102</v>
      </c>
      <c r="E531" s="697">
        <v>204</v>
      </c>
      <c r="F531" s="157"/>
      <c r="G531" s="698" t="s">
        <v>1245</v>
      </c>
      <c r="H531" s="135"/>
      <c r="I531" s="135"/>
      <c r="J531" s="135"/>
      <c r="K531" s="499">
        <v>7.5532407407407409E-2</v>
      </c>
      <c r="L531" s="699">
        <v>1.2493055555555557</v>
      </c>
      <c r="M531" s="157"/>
    </row>
    <row r="532" spans="3:13" ht="15.75" thickBot="1">
      <c r="C532" s="157"/>
      <c r="D532" s="696" t="s">
        <v>1103</v>
      </c>
      <c r="E532" s="697">
        <v>254</v>
      </c>
      <c r="F532" s="157"/>
      <c r="G532" s="698"/>
      <c r="H532" s="135"/>
      <c r="I532" s="135"/>
      <c r="J532" s="135"/>
      <c r="K532" s="499">
        <v>7.6655092592592594E-2</v>
      </c>
      <c r="L532" s="699">
        <v>1.3166666666666667</v>
      </c>
      <c r="M532" s="157"/>
    </row>
    <row r="533" spans="3:13" ht="15.75" thickBot="1">
      <c r="C533" s="157"/>
      <c r="D533" s="696" t="s">
        <v>1105</v>
      </c>
      <c r="E533" s="697">
        <v>288</v>
      </c>
      <c r="F533" s="157"/>
      <c r="G533" s="698" t="s">
        <v>1146</v>
      </c>
      <c r="H533" s="135"/>
      <c r="I533" s="135"/>
      <c r="J533" s="135"/>
      <c r="K533" s="499">
        <v>7.6805555555555557E-2</v>
      </c>
      <c r="L533" s="699">
        <v>1.3256944444444445</v>
      </c>
      <c r="M533" s="157"/>
    </row>
    <row r="534" spans="3:13" ht="15.75" thickBot="1">
      <c r="C534" s="157"/>
      <c r="D534" s="696" t="s">
        <v>1107</v>
      </c>
      <c r="E534" s="697">
        <v>235</v>
      </c>
      <c r="F534" s="157"/>
      <c r="G534" s="698" t="s">
        <v>1246</v>
      </c>
      <c r="H534" s="135"/>
      <c r="I534" s="135"/>
      <c r="J534" s="135"/>
      <c r="K534" s="499">
        <v>7.7141203703703712E-2</v>
      </c>
      <c r="L534" s="699">
        <v>1.3458333333333332</v>
      </c>
      <c r="M534" s="157"/>
    </row>
    <row r="535" spans="3:13" ht="15.75" thickBot="1">
      <c r="C535" s="157"/>
      <c r="D535" s="696" t="s">
        <v>1109</v>
      </c>
      <c r="E535" s="697">
        <v>246</v>
      </c>
      <c r="F535" s="157"/>
      <c r="G535" s="698" t="s">
        <v>1247</v>
      </c>
      <c r="H535" s="135"/>
      <c r="I535" s="135"/>
      <c r="J535" s="135"/>
      <c r="K535" s="499">
        <v>7.7314814814814822E-2</v>
      </c>
      <c r="L535" s="699">
        <v>1.35625</v>
      </c>
      <c r="M535" s="157"/>
    </row>
    <row r="536" spans="3:13" ht="15.75" thickBot="1">
      <c r="D536" s="491" t="s">
        <v>1111</v>
      </c>
      <c r="E536" s="485">
        <v>247</v>
      </c>
      <c r="G536" s="486" t="s">
        <v>1248</v>
      </c>
      <c r="H536" s="135"/>
      <c r="I536" s="135"/>
      <c r="J536" s="135"/>
      <c r="K536" s="499">
        <v>7.7604166666666669E-2</v>
      </c>
      <c r="L536" s="493">
        <v>1.3736111111111111</v>
      </c>
      <c r="M536"/>
    </row>
    <row r="537" spans="3:13" ht="15.75" thickBot="1">
      <c r="D537" s="491" t="s">
        <v>1113</v>
      </c>
      <c r="E537" s="485">
        <v>236</v>
      </c>
      <c r="G537" s="486" t="s">
        <v>1141</v>
      </c>
      <c r="K537" s="499">
        <v>7.7604166666666669E-2</v>
      </c>
      <c r="L537" s="493">
        <v>1.3736111111111111</v>
      </c>
      <c r="M537"/>
    </row>
    <row r="538" spans="3:13" ht="15.75" thickBot="1">
      <c r="D538" s="491" t="s">
        <v>1114</v>
      </c>
      <c r="E538" s="485">
        <v>227</v>
      </c>
      <c r="G538" s="486" t="s">
        <v>1249</v>
      </c>
      <c r="K538" s="499">
        <v>7.8009259259259264E-2</v>
      </c>
      <c r="L538" s="493">
        <v>1.3979166666666665</v>
      </c>
      <c r="M538"/>
    </row>
    <row r="539" spans="3:13" ht="15.75" thickBot="1">
      <c r="D539" s="491" t="s">
        <v>1115</v>
      </c>
      <c r="E539" s="485">
        <v>256</v>
      </c>
      <c r="G539" s="486" t="s">
        <v>1250</v>
      </c>
      <c r="K539" s="499">
        <v>7.8657407407407412E-2</v>
      </c>
      <c r="L539" s="493">
        <v>1.4368055555555557</v>
      </c>
      <c r="M539"/>
    </row>
    <row r="540" spans="3:13" ht="15.75" thickBot="1">
      <c r="D540" s="491" t="s">
        <v>1215</v>
      </c>
      <c r="E540" s="485">
        <v>222</v>
      </c>
      <c r="G540" s="486" t="s">
        <v>1251</v>
      </c>
      <c r="K540" s="499">
        <v>7.8912037037037031E-2</v>
      </c>
      <c r="L540" s="493">
        <v>1.4520833333333334</v>
      </c>
      <c r="M540"/>
    </row>
    <row r="541" spans="3:13" ht="15.75" thickBot="1">
      <c r="D541" s="491" t="s">
        <v>1216</v>
      </c>
      <c r="E541" s="485">
        <v>211</v>
      </c>
      <c r="G541" s="486" t="s">
        <v>1252</v>
      </c>
      <c r="K541" s="499">
        <v>7.9293981481481479E-2</v>
      </c>
      <c r="L541" s="493">
        <v>1.4749999999999999</v>
      </c>
      <c r="M541"/>
    </row>
    <row r="542" spans="3:13" ht="15.75" thickBot="1">
      <c r="D542" s="491" t="s">
        <v>1217</v>
      </c>
      <c r="E542" s="485">
        <v>293</v>
      </c>
      <c r="G542" s="486" t="s">
        <v>1253</v>
      </c>
      <c r="K542" s="499">
        <v>8.0555555555555561E-2</v>
      </c>
      <c r="L542" s="493">
        <v>1.5506944444444446</v>
      </c>
      <c r="M542"/>
    </row>
    <row r="543" spans="3:13" ht="15.75" thickBot="1">
      <c r="D543" s="491" t="s">
        <v>1218</v>
      </c>
      <c r="E543" s="485">
        <v>237</v>
      </c>
      <c r="G543" s="486" t="s">
        <v>371</v>
      </c>
      <c r="K543" s="499">
        <v>8.0682870370370363E-2</v>
      </c>
      <c r="L543" s="493">
        <v>1.5583333333333333</v>
      </c>
      <c r="M543"/>
    </row>
    <row r="544" spans="3:13" ht="15.75" thickBot="1">
      <c r="D544" s="491" t="s">
        <v>1219</v>
      </c>
      <c r="E544" s="485">
        <v>209</v>
      </c>
      <c r="G544" s="486" t="s">
        <v>1254</v>
      </c>
      <c r="K544" s="499">
        <v>8.0844907407407407E-2</v>
      </c>
      <c r="L544" s="493">
        <v>1.5680555555555555</v>
      </c>
      <c r="M544"/>
    </row>
    <row r="545" spans="4:13" ht="15.75" thickBot="1">
      <c r="D545" s="491" t="s">
        <v>1220</v>
      </c>
      <c r="E545" s="485">
        <v>215</v>
      </c>
      <c r="G545" s="486" t="s">
        <v>1255</v>
      </c>
      <c r="K545" s="499">
        <v>8.1157407407407414E-2</v>
      </c>
      <c r="L545" s="493">
        <v>1.5868055555555556</v>
      </c>
      <c r="M545"/>
    </row>
    <row r="546" spans="4:13" ht="15.75" thickBot="1">
      <c r="D546" s="491" t="s">
        <v>1221</v>
      </c>
      <c r="E546" s="485">
        <v>244</v>
      </c>
      <c r="F546" s="157"/>
      <c r="G546" s="486" t="s">
        <v>1256</v>
      </c>
      <c r="H546" s="135"/>
      <c r="I546" s="135"/>
      <c r="K546" s="499">
        <v>8.1342592592592591E-2</v>
      </c>
      <c r="L546" s="493">
        <v>1.5979166666666667</v>
      </c>
      <c r="M546"/>
    </row>
    <row r="547" spans="4:13" ht="15.75" thickBot="1">
      <c r="D547" s="491" t="s">
        <v>1222</v>
      </c>
      <c r="E547" s="485">
        <v>253</v>
      </c>
      <c r="G547" s="486"/>
      <c r="K547" s="499">
        <v>8.1388888888888886E-2</v>
      </c>
      <c r="L547" s="493">
        <v>1.6006944444444444</v>
      </c>
      <c r="M547"/>
    </row>
    <row r="548" spans="4:13" ht="15.75" thickBot="1">
      <c r="D548" s="491" t="s">
        <v>1223</v>
      </c>
      <c r="E548" s="485">
        <v>241</v>
      </c>
      <c r="G548" s="486" t="s">
        <v>1257</v>
      </c>
      <c r="K548" s="499">
        <v>8.2129629629629622E-2</v>
      </c>
      <c r="L548" s="493">
        <v>1.6451388888888889</v>
      </c>
      <c r="M548"/>
    </row>
    <row r="549" spans="4:13" ht="15.75" thickBot="1">
      <c r="D549" s="491" t="s">
        <v>1224</v>
      </c>
      <c r="E549" s="485">
        <v>232</v>
      </c>
      <c r="G549" s="486" t="s">
        <v>1145</v>
      </c>
      <c r="K549" s="499">
        <v>8.2673611111111114E-2</v>
      </c>
      <c r="L549" s="493">
        <v>1.6777777777777778</v>
      </c>
      <c r="M549"/>
    </row>
    <row r="550" spans="4:13" ht="15.75" thickBot="1">
      <c r="D550" s="491" t="s">
        <v>1225</v>
      </c>
      <c r="E550" s="485">
        <v>221</v>
      </c>
      <c r="G550" s="486" t="s">
        <v>1258</v>
      </c>
      <c r="K550" s="499">
        <v>8.324074074074074E-2</v>
      </c>
      <c r="L550" s="493">
        <v>1.7118055555555556</v>
      </c>
      <c r="M550"/>
    </row>
    <row r="551" spans="4:13" ht="15.75" thickBot="1">
      <c r="D551" s="491" t="s">
        <v>1226</v>
      </c>
      <c r="E551" s="485">
        <v>205</v>
      </c>
      <c r="G551" s="486" t="s">
        <v>1259</v>
      </c>
      <c r="K551" s="499">
        <v>8.3599537037037042E-2</v>
      </c>
      <c r="L551" s="493">
        <v>1.7333333333333334</v>
      </c>
      <c r="M551"/>
    </row>
    <row r="552" spans="4:13" ht="15.75" thickBot="1">
      <c r="D552" s="491" t="s">
        <v>1227</v>
      </c>
      <c r="E552" s="485">
        <v>230</v>
      </c>
      <c r="G552" s="486" t="s">
        <v>1260</v>
      </c>
      <c r="K552" s="499">
        <v>8.3912037037037035E-2</v>
      </c>
      <c r="L552" s="493">
        <v>1.7520833333333332</v>
      </c>
      <c r="M552"/>
    </row>
    <row r="553" spans="4:13" ht="15.75" thickBot="1">
      <c r="D553" s="491" t="s">
        <v>1228</v>
      </c>
      <c r="E553" s="485">
        <v>240</v>
      </c>
      <c r="G553" s="486" t="s">
        <v>1261</v>
      </c>
      <c r="K553" s="499">
        <v>8.4398148148148153E-2</v>
      </c>
      <c r="L553" s="493">
        <v>1.78125</v>
      </c>
      <c r="M553"/>
    </row>
    <row r="554" spans="4:13" ht="15.75" thickBot="1">
      <c r="D554" s="491" t="s">
        <v>1229</v>
      </c>
      <c r="E554" s="485">
        <v>251</v>
      </c>
      <c r="G554" s="486" t="s">
        <v>1262</v>
      </c>
      <c r="K554" s="499">
        <v>8.5185185185185183E-2</v>
      </c>
      <c r="L554" s="493">
        <v>1.8284722222222223</v>
      </c>
      <c r="M554"/>
    </row>
    <row r="555" spans="4:13" ht="15.75" thickBot="1">
      <c r="D555" s="491" t="s">
        <v>1230</v>
      </c>
      <c r="E555" s="485">
        <v>225</v>
      </c>
      <c r="G555" s="486" t="s">
        <v>1263</v>
      </c>
      <c r="K555" s="499">
        <v>8.5613425925925926E-2</v>
      </c>
      <c r="L555" s="493">
        <v>1.8541666666666667</v>
      </c>
      <c r="M555"/>
    </row>
    <row r="556" spans="4:13" ht="15.75" thickBot="1">
      <c r="D556" s="491" t="s">
        <v>1297</v>
      </c>
      <c r="E556" s="485">
        <v>242</v>
      </c>
      <c r="G556" s="486" t="s">
        <v>1264</v>
      </c>
      <c r="K556" s="499">
        <v>8.68287037037037E-2</v>
      </c>
      <c r="L556" s="493">
        <v>1.9270833333333333</v>
      </c>
      <c r="M556"/>
    </row>
    <row r="557" spans="4:13" ht="15.75" thickBot="1">
      <c r="D557" s="494" t="s">
        <v>1298</v>
      </c>
      <c r="E557" s="495">
        <v>233</v>
      </c>
      <c r="G557" s="496" t="s">
        <v>1098</v>
      </c>
      <c r="K557" s="500">
        <v>8.8032407407407406E-2</v>
      </c>
      <c r="L557" s="497">
        <v>1.9993055555555557</v>
      </c>
      <c r="M557"/>
    </row>
  </sheetData>
  <hyperlinks>
    <hyperlink ref="G3" r:id="rId1"/>
  </hyperlinks>
  <pageMargins left="0.70866141732283472" right="0.70866141732283472" top="0.78740157480314965" bottom="0.78740157480314965" header="0.31496062992125984" footer="0.31496062992125984"/>
  <pageSetup paperSize="9" orientation="landscape" horizontalDpi="300" verticalDpi="300" r:id="rId2"/>
  <ignoredErrors>
    <ignoredError sqref="G18 G25 E139 G27:G33 G35:G39 G11" numberStoredAsText="1"/>
    <ignoredError sqref="K5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>
  <dimension ref="A1:H68"/>
  <sheetViews>
    <sheetView showGridLines="0" workbookViewId="0">
      <selection activeCell="G24" sqref="G24"/>
    </sheetView>
  </sheetViews>
  <sheetFormatPr defaultRowHeight="15"/>
  <cols>
    <col min="1" max="1" width="4.28515625" customWidth="1"/>
    <col min="3" max="3" width="11.5703125" customWidth="1"/>
    <col min="4" max="4" width="38.42578125" customWidth="1"/>
    <col min="5" max="5" width="13.7109375" customWidth="1"/>
    <col min="6" max="6" width="11.42578125" customWidth="1"/>
    <col min="9" max="9" width="5.85546875" customWidth="1"/>
    <col min="10" max="10" width="34.5703125" customWidth="1"/>
  </cols>
  <sheetData>
    <row r="1" spans="2:8" ht="21.75" thickBot="1">
      <c r="D1" s="511" t="s">
        <v>1299</v>
      </c>
    </row>
    <row r="2" spans="2:8" ht="21" thickBot="1">
      <c r="B2" s="512"/>
      <c r="C2" s="513" t="s">
        <v>1213</v>
      </c>
      <c r="D2" s="514"/>
      <c r="E2" s="514"/>
      <c r="F2" s="515"/>
      <c r="G2" s="515"/>
      <c r="H2" s="516"/>
    </row>
    <row r="3" spans="2:8">
      <c r="D3" s="484" t="s">
        <v>1214</v>
      </c>
      <c r="E3" s="16"/>
      <c r="F3" s="16"/>
      <c r="G3" s="16"/>
      <c r="H3" s="16"/>
    </row>
    <row r="4" spans="2:8" ht="15.75" thickBot="1"/>
    <row r="5" spans="2:8" ht="15.75" thickBot="1">
      <c r="B5" s="487" t="s">
        <v>1045</v>
      </c>
      <c r="C5" s="488">
        <v>201</v>
      </c>
      <c r="D5" s="488" t="s">
        <v>1200</v>
      </c>
      <c r="E5" s="498">
        <v>5.4710648148148154E-2</v>
      </c>
      <c r="F5" s="490"/>
    </row>
    <row r="6" spans="2:8" ht="15.75" thickBot="1">
      <c r="B6" s="491" t="s">
        <v>1047</v>
      </c>
      <c r="C6" s="485">
        <v>200</v>
      </c>
      <c r="D6" s="485" t="s">
        <v>1134</v>
      </c>
      <c r="E6" s="499">
        <v>5.7465277777777775E-2</v>
      </c>
      <c r="F6" s="492">
        <v>0.16527777777777777</v>
      </c>
    </row>
    <row r="7" spans="2:8" ht="15.75" thickBot="1">
      <c r="B7" s="491" t="s">
        <v>1049</v>
      </c>
      <c r="C7" s="485">
        <v>218</v>
      </c>
      <c r="D7" s="485" t="s">
        <v>1140</v>
      </c>
      <c r="E7" s="499">
        <v>5.9513888888888887E-2</v>
      </c>
      <c r="F7" s="492">
        <v>0.28819444444444448</v>
      </c>
    </row>
    <row r="8" spans="2:8" ht="15.75" thickBot="1">
      <c r="B8" s="559" t="s">
        <v>1050</v>
      </c>
      <c r="C8" s="558">
        <v>219</v>
      </c>
      <c r="D8" s="558" t="s">
        <v>1201</v>
      </c>
      <c r="E8" s="499">
        <v>6.1273148148148153E-2</v>
      </c>
      <c r="F8" s="560">
        <v>0.39374999999999999</v>
      </c>
    </row>
    <row r="9" spans="2:8" ht="15.75" thickBot="1">
      <c r="B9" s="491" t="s">
        <v>1052</v>
      </c>
      <c r="C9" s="485">
        <v>229</v>
      </c>
      <c r="D9" s="485" t="s">
        <v>1202</v>
      </c>
      <c r="E9" s="499">
        <v>6.3078703703703706E-2</v>
      </c>
      <c r="F9" s="492">
        <v>0.50208333333333333</v>
      </c>
    </row>
    <row r="10" spans="2:8" ht="15.75" thickBot="1">
      <c r="B10" s="491" t="s">
        <v>1053</v>
      </c>
      <c r="C10" s="485">
        <v>226</v>
      </c>
      <c r="D10" s="485" t="s">
        <v>1203</v>
      </c>
      <c r="E10" s="499">
        <v>6.3148148148148148E-2</v>
      </c>
      <c r="F10" s="492">
        <v>0.50624999999999998</v>
      </c>
    </row>
    <row r="11" spans="2:8" ht="15.75" thickBot="1">
      <c r="B11" s="491" t="s">
        <v>1055</v>
      </c>
      <c r="C11" s="485">
        <v>238</v>
      </c>
      <c r="D11" s="485" t="s">
        <v>1204</v>
      </c>
      <c r="E11" s="499">
        <v>6.3194444444444442E-2</v>
      </c>
      <c r="F11" s="492">
        <v>0.50902777777777775</v>
      </c>
    </row>
    <row r="12" spans="2:8" ht="15.75" thickBot="1">
      <c r="B12" s="491" t="s">
        <v>1057</v>
      </c>
      <c r="C12" s="485">
        <v>250</v>
      </c>
      <c r="D12" s="485" t="s">
        <v>1205</v>
      </c>
      <c r="E12" s="499">
        <v>6.4444444444444443E-2</v>
      </c>
      <c r="F12" s="492">
        <v>0.58402777777777781</v>
      </c>
    </row>
    <row r="13" spans="2:8" ht="15.75" thickBot="1">
      <c r="B13" s="491" t="s">
        <v>1059</v>
      </c>
      <c r="C13" s="485">
        <v>228</v>
      </c>
      <c r="D13" s="485" t="s">
        <v>1206</v>
      </c>
      <c r="E13" s="499">
        <v>6.4548611111111112E-2</v>
      </c>
      <c r="F13" s="492">
        <v>0.59027777777777779</v>
      </c>
    </row>
    <row r="14" spans="2:8" ht="15.75" thickBot="1">
      <c r="B14" s="491" t="s">
        <v>1061</v>
      </c>
      <c r="C14" s="485">
        <v>248</v>
      </c>
      <c r="D14" s="485" t="s">
        <v>1207</v>
      </c>
      <c r="E14" s="499">
        <v>6.5057870370370363E-2</v>
      </c>
      <c r="F14" s="492">
        <v>0.62083333333333335</v>
      </c>
    </row>
    <row r="15" spans="2:8" ht="15.75" thickBot="1">
      <c r="B15" s="491" t="s">
        <v>1063</v>
      </c>
      <c r="C15" s="485">
        <v>239</v>
      </c>
      <c r="D15" s="485" t="s">
        <v>1208</v>
      </c>
      <c r="E15" s="499">
        <v>6.5405092592592584E-2</v>
      </c>
      <c r="F15" s="492">
        <v>0.64166666666666672</v>
      </c>
    </row>
    <row r="16" spans="2:8" ht="15.75" thickBot="1">
      <c r="B16" s="491" t="s">
        <v>1065</v>
      </c>
      <c r="C16" s="485">
        <v>292</v>
      </c>
      <c r="D16" s="485" t="s">
        <v>1209</v>
      </c>
      <c r="E16" s="499">
        <v>6.5625000000000003E-2</v>
      </c>
      <c r="F16" s="492">
        <v>0.65486111111111112</v>
      </c>
    </row>
    <row r="17" spans="1:7" ht="15.75" thickBot="1">
      <c r="B17" s="491" t="s">
        <v>1067</v>
      </c>
      <c r="C17" s="485">
        <v>269</v>
      </c>
      <c r="D17" s="485"/>
      <c r="E17" s="499">
        <v>6.621527777777779E-2</v>
      </c>
      <c r="F17" s="492">
        <v>0.69027777777777777</v>
      </c>
    </row>
    <row r="18" spans="1:7" ht="15.75" thickBot="1">
      <c r="B18" s="491" t="s">
        <v>1068</v>
      </c>
      <c r="C18" s="485">
        <v>202</v>
      </c>
      <c r="D18" s="485" t="s">
        <v>1210</v>
      </c>
      <c r="E18" s="499">
        <v>6.8298611111111115E-2</v>
      </c>
      <c r="F18" s="492">
        <v>0.81527777777777777</v>
      </c>
    </row>
    <row r="19" spans="1:7" ht="15.75" thickBot="1">
      <c r="A19" s="157"/>
      <c r="B19" s="491" t="s">
        <v>1070</v>
      </c>
      <c r="C19" s="485">
        <v>295</v>
      </c>
      <c r="D19" s="485" t="s">
        <v>1211</v>
      </c>
      <c r="E19" s="499">
        <v>6.8356481481481476E-2</v>
      </c>
      <c r="F19" s="492">
        <v>0.81874999999999998</v>
      </c>
    </row>
    <row r="20" spans="1:7" ht="15.75" thickBot="1">
      <c r="A20" s="157"/>
      <c r="B20" s="491" t="s">
        <v>1072</v>
      </c>
      <c r="C20" s="485">
        <v>268</v>
      </c>
      <c r="D20" s="485"/>
      <c r="E20" s="499">
        <v>6.8391203703703704E-2</v>
      </c>
      <c r="F20" s="492">
        <v>0.8208333333333333</v>
      </c>
    </row>
    <row r="21" spans="1:7" ht="15.75" thickBot="1">
      <c r="A21" s="157"/>
      <c r="B21" s="505" t="s">
        <v>1073</v>
      </c>
      <c r="C21" s="506">
        <v>243</v>
      </c>
      <c r="D21" s="506" t="s">
        <v>1212</v>
      </c>
      <c r="E21" s="509">
        <v>6.8634259259259256E-2</v>
      </c>
      <c r="F21" s="510">
        <v>0.8354166666666667</v>
      </c>
      <c r="G21" s="507"/>
    </row>
    <row r="22" spans="1:7" ht="15.75" thickBot="1">
      <c r="A22" s="157"/>
      <c r="B22" s="491" t="s">
        <v>1075</v>
      </c>
      <c r="C22" s="485">
        <v>214</v>
      </c>
      <c r="D22" s="485" t="s">
        <v>1233</v>
      </c>
      <c r="E22" s="499">
        <v>6.9432870370370367E-2</v>
      </c>
      <c r="F22" s="492">
        <v>0.8833333333333333</v>
      </c>
    </row>
    <row r="23" spans="1:7" ht="15.75" thickBot="1">
      <c r="A23" s="157"/>
      <c r="B23" s="491" t="s">
        <v>1076</v>
      </c>
      <c r="C23" s="485">
        <v>212</v>
      </c>
      <c r="D23" s="485" t="s">
        <v>1234</v>
      </c>
      <c r="E23" s="499">
        <v>7.059027777777778E-2</v>
      </c>
      <c r="F23" s="492">
        <v>0.95277777777777783</v>
      </c>
    </row>
    <row r="24" spans="1:7" ht="15.75" thickBot="1">
      <c r="A24" s="157"/>
      <c r="B24" s="491" t="s">
        <v>1078</v>
      </c>
      <c r="C24" s="485">
        <v>291</v>
      </c>
      <c r="D24" s="485" t="s">
        <v>1138</v>
      </c>
      <c r="E24" s="499">
        <v>7.0694444444444449E-2</v>
      </c>
      <c r="F24" s="492">
        <v>0.9590277777777777</v>
      </c>
    </row>
    <row r="25" spans="1:7" ht="15.75" thickBot="1">
      <c r="A25" s="157"/>
      <c r="B25" s="491" t="s">
        <v>1080</v>
      </c>
      <c r="C25" s="485">
        <v>289</v>
      </c>
      <c r="D25" s="485" t="s">
        <v>540</v>
      </c>
      <c r="E25" s="499">
        <v>7.076388888888889E-2</v>
      </c>
      <c r="F25" s="492">
        <v>0.96319444444444446</v>
      </c>
    </row>
    <row r="26" spans="1:7" ht="15.75" thickBot="1">
      <c r="A26" s="157"/>
      <c r="B26" s="491" t="s">
        <v>1081</v>
      </c>
      <c r="C26" s="485">
        <v>223</v>
      </c>
      <c r="D26" s="485" t="s">
        <v>1235</v>
      </c>
      <c r="E26" s="499">
        <v>7.1712962962962964E-2</v>
      </c>
      <c r="F26" s="493">
        <v>1.0201388888888889</v>
      </c>
    </row>
    <row r="27" spans="1:7" ht="15.75" thickBot="1">
      <c r="A27" s="157"/>
      <c r="B27" s="491" t="s">
        <v>1083</v>
      </c>
      <c r="C27" s="485">
        <v>210</v>
      </c>
      <c r="D27" s="485" t="s">
        <v>1236</v>
      </c>
      <c r="E27" s="499">
        <v>7.1770833333333339E-2</v>
      </c>
      <c r="F27" s="493">
        <v>1.023611111111111</v>
      </c>
    </row>
    <row r="28" spans="1:7" ht="15.75" thickBot="1">
      <c r="A28" s="157"/>
      <c r="B28" s="491" t="s">
        <v>1084</v>
      </c>
      <c r="C28" s="485">
        <v>231</v>
      </c>
      <c r="D28" s="485" t="s">
        <v>1237</v>
      </c>
      <c r="E28" s="499">
        <v>7.2430555555555554E-2</v>
      </c>
      <c r="F28" s="493">
        <v>1.0631944444444443</v>
      </c>
    </row>
    <row r="29" spans="1:7" ht="15.75" thickBot="1">
      <c r="A29" s="157"/>
      <c r="B29" s="550" t="s">
        <v>1085</v>
      </c>
      <c r="C29" s="551">
        <v>208</v>
      </c>
      <c r="D29" s="551" t="s">
        <v>1232</v>
      </c>
      <c r="E29" s="499">
        <v>7.2592592592592597E-2</v>
      </c>
      <c r="F29" s="554">
        <v>1.0729166666666667</v>
      </c>
      <c r="G29" s="549"/>
    </row>
    <row r="30" spans="1:7" ht="15.75" thickBot="1">
      <c r="A30" s="157"/>
      <c r="B30" s="491" t="s">
        <v>1087</v>
      </c>
      <c r="C30" s="485">
        <v>216</v>
      </c>
      <c r="D30" s="485" t="s">
        <v>1238</v>
      </c>
      <c r="E30" s="499">
        <v>7.273148148148148E-2</v>
      </c>
      <c r="F30" s="493">
        <v>1.08125</v>
      </c>
    </row>
    <row r="31" spans="1:7" ht="15.75" thickBot="1">
      <c r="A31" s="157"/>
      <c r="B31" s="491" t="s">
        <v>1088</v>
      </c>
      <c r="C31" s="485">
        <v>290</v>
      </c>
      <c r="D31" s="485" t="s">
        <v>713</v>
      </c>
      <c r="E31" s="499">
        <v>7.3020833333333326E-2</v>
      </c>
      <c r="F31" s="493">
        <v>1.0986111111111112</v>
      </c>
    </row>
    <row r="32" spans="1:7" ht="15.75" thickBot="1">
      <c r="A32" s="157"/>
      <c r="B32" s="491" t="s">
        <v>1089</v>
      </c>
      <c r="C32" s="485">
        <v>286</v>
      </c>
      <c r="D32" s="485" t="s">
        <v>649</v>
      </c>
      <c r="E32" s="499">
        <v>7.3101851851851848E-2</v>
      </c>
      <c r="F32" s="493">
        <v>1.1034722222222222</v>
      </c>
    </row>
    <row r="33" spans="1:7" ht="15.75" thickBot="1">
      <c r="A33" s="157"/>
      <c r="B33" s="491" t="s">
        <v>1091</v>
      </c>
      <c r="C33" s="485">
        <v>217</v>
      </c>
      <c r="D33" s="485" t="s">
        <v>1239</v>
      </c>
      <c r="E33" s="499">
        <v>7.3506944444444444E-2</v>
      </c>
      <c r="F33" s="493">
        <v>1.1277777777777778</v>
      </c>
    </row>
    <row r="34" spans="1:7" ht="15.75" thickBot="1">
      <c r="A34" s="157"/>
      <c r="B34" s="491" t="s">
        <v>1092</v>
      </c>
      <c r="C34" s="485">
        <v>207</v>
      </c>
      <c r="D34" s="485" t="s">
        <v>1240</v>
      </c>
      <c r="E34" s="499">
        <v>7.4050925925925923E-2</v>
      </c>
      <c r="F34" s="493">
        <v>1.1604166666666667</v>
      </c>
    </row>
    <row r="35" spans="1:7" ht="15.75" thickBot="1">
      <c r="A35" s="157"/>
      <c r="B35" s="491" t="s">
        <v>1093</v>
      </c>
      <c r="C35" s="485">
        <v>255</v>
      </c>
      <c r="D35" s="485" t="s">
        <v>1241</v>
      </c>
      <c r="E35" s="499">
        <v>7.4756944444444445E-2</v>
      </c>
      <c r="F35" s="493">
        <v>1.2027777777777777</v>
      </c>
    </row>
    <row r="36" spans="1:7" ht="15.75" thickBot="1">
      <c r="A36" s="157"/>
      <c r="B36" s="491" t="s">
        <v>1094</v>
      </c>
      <c r="C36" s="485">
        <v>213</v>
      </c>
      <c r="D36" s="485" t="s">
        <v>1233</v>
      </c>
      <c r="E36" s="499">
        <v>7.481481481481482E-2</v>
      </c>
      <c r="F36" s="493">
        <v>1.20625</v>
      </c>
    </row>
    <row r="37" spans="1:7" ht="15.75" thickBot="1">
      <c r="A37" s="157"/>
      <c r="B37" s="491" t="s">
        <v>1095</v>
      </c>
      <c r="C37" s="485">
        <v>234</v>
      </c>
      <c r="D37" s="485" t="s">
        <v>1231</v>
      </c>
      <c r="E37" s="499">
        <v>7.4837962962962967E-2</v>
      </c>
      <c r="F37" s="493">
        <v>1.2076388888888889</v>
      </c>
    </row>
    <row r="38" spans="1:7" ht="15.75" thickBot="1">
      <c r="A38" s="157"/>
      <c r="B38" s="491" t="s">
        <v>1096</v>
      </c>
      <c r="C38" s="485">
        <v>224</v>
      </c>
      <c r="D38" s="485" t="s">
        <v>1242</v>
      </c>
      <c r="E38" s="499">
        <v>7.4930555555555556E-2</v>
      </c>
      <c r="F38" s="493">
        <v>1.2131944444444445</v>
      </c>
    </row>
    <row r="39" spans="1:7" ht="15.75" thickBot="1">
      <c r="A39" s="157"/>
      <c r="B39" s="491" t="s">
        <v>1097</v>
      </c>
      <c r="C39" s="485">
        <v>287</v>
      </c>
      <c r="D39" s="485" t="s">
        <v>1243</v>
      </c>
      <c r="E39" s="499">
        <v>7.4953703703703703E-2</v>
      </c>
      <c r="F39" s="493">
        <v>1.2145833333333333</v>
      </c>
    </row>
    <row r="40" spans="1:7" ht="15.75" thickBot="1">
      <c r="A40" s="157"/>
      <c r="B40" s="491" t="s">
        <v>1099</v>
      </c>
      <c r="C40" s="485">
        <v>245</v>
      </c>
      <c r="D40" s="485" t="s">
        <v>1244</v>
      </c>
      <c r="E40" s="499">
        <v>7.4999999999999997E-2</v>
      </c>
      <c r="F40" s="493">
        <v>1.2173611111111111</v>
      </c>
    </row>
    <row r="41" spans="1:7" ht="15.75" thickBot="1">
      <c r="A41" s="157"/>
      <c r="B41" s="491" t="s">
        <v>1100</v>
      </c>
      <c r="C41" s="485">
        <v>252</v>
      </c>
      <c r="D41" s="485"/>
      <c r="E41" s="499">
        <v>7.5509259259259262E-2</v>
      </c>
      <c r="F41" s="493">
        <v>1.2479166666666666</v>
      </c>
    </row>
    <row r="42" spans="1:7" ht="15.75" thickBot="1">
      <c r="A42" s="157"/>
      <c r="B42" s="550" t="s">
        <v>1102</v>
      </c>
      <c r="C42" s="551">
        <v>204</v>
      </c>
      <c r="D42" s="551" t="s">
        <v>1245</v>
      </c>
      <c r="E42" s="499">
        <v>7.5532407407407409E-2</v>
      </c>
      <c r="F42" s="554">
        <v>1.2493055555555557</v>
      </c>
      <c r="G42" s="549"/>
    </row>
    <row r="43" spans="1:7" ht="15.75" thickBot="1">
      <c r="A43" s="157"/>
      <c r="B43" s="491" t="s">
        <v>1103</v>
      </c>
      <c r="C43" s="485">
        <v>254</v>
      </c>
      <c r="D43" s="485"/>
      <c r="E43" s="499">
        <v>7.6655092592592594E-2</v>
      </c>
      <c r="F43" s="493">
        <v>1.3166666666666667</v>
      </c>
    </row>
    <row r="44" spans="1:7" ht="15.75" thickBot="1">
      <c r="A44" s="157"/>
      <c r="B44" s="491" t="s">
        <v>1105</v>
      </c>
      <c r="C44" s="485">
        <v>288</v>
      </c>
      <c r="D44" s="485" t="s">
        <v>1146</v>
      </c>
      <c r="E44" s="499">
        <v>7.6805555555555557E-2</v>
      </c>
      <c r="F44" s="493">
        <v>1.3256944444444445</v>
      </c>
    </row>
    <row r="45" spans="1:7" ht="15.75" thickBot="1">
      <c r="A45" s="157"/>
      <c r="B45" s="491" t="s">
        <v>1107</v>
      </c>
      <c r="C45" s="485">
        <v>235</v>
      </c>
      <c r="D45" s="485" t="s">
        <v>1246</v>
      </c>
      <c r="E45" s="499">
        <v>7.7141203703703712E-2</v>
      </c>
      <c r="F45" s="493">
        <v>1.3458333333333332</v>
      </c>
    </row>
    <row r="46" spans="1:7" ht="15.75" thickBot="1">
      <c r="A46" s="157"/>
      <c r="B46" s="550" t="s">
        <v>1109</v>
      </c>
      <c r="C46" s="551">
        <v>246</v>
      </c>
      <c r="D46" s="551" t="s">
        <v>1247</v>
      </c>
      <c r="E46" s="499">
        <v>7.7314814814814822E-2</v>
      </c>
      <c r="F46" s="554">
        <v>1.35625</v>
      </c>
      <c r="G46" s="549"/>
    </row>
    <row r="47" spans="1:7" ht="15.75" thickBot="1">
      <c r="A47" s="157"/>
      <c r="B47" s="491" t="s">
        <v>1111</v>
      </c>
      <c r="C47" s="485">
        <v>247</v>
      </c>
      <c r="D47" s="485" t="s">
        <v>1248</v>
      </c>
      <c r="E47" s="499">
        <v>7.7604166666666669E-2</v>
      </c>
      <c r="F47" s="493">
        <v>1.3736111111111111</v>
      </c>
    </row>
    <row r="48" spans="1:7" ht="15.75" thickBot="1">
      <c r="A48" s="157"/>
      <c r="B48" s="491" t="s">
        <v>1113</v>
      </c>
      <c r="C48" s="485">
        <v>236</v>
      </c>
      <c r="D48" s="485" t="s">
        <v>1141</v>
      </c>
      <c r="E48" s="499">
        <v>7.7604166666666669E-2</v>
      </c>
      <c r="F48" s="493">
        <v>1.3736111111111111</v>
      </c>
    </row>
    <row r="49" spans="1:6" ht="15.75" thickBot="1">
      <c r="A49" s="157"/>
      <c r="B49" s="491" t="s">
        <v>1114</v>
      </c>
      <c r="C49" s="485">
        <v>227</v>
      </c>
      <c r="D49" s="485" t="s">
        <v>1249</v>
      </c>
      <c r="E49" s="499">
        <v>7.8009259259259264E-2</v>
      </c>
      <c r="F49" s="493">
        <v>1.3979166666666665</v>
      </c>
    </row>
    <row r="50" spans="1:6" ht="15.75" thickBot="1">
      <c r="A50" s="157"/>
      <c r="B50" s="491" t="s">
        <v>1115</v>
      </c>
      <c r="C50" s="485">
        <v>256</v>
      </c>
      <c r="D50" s="485" t="s">
        <v>1250</v>
      </c>
      <c r="E50" s="499">
        <v>7.8657407407407412E-2</v>
      </c>
      <c r="F50" s="493">
        <v>1.4368055555555557</v>
      </c>
    </row>
    <row r="51" spans="1:6" ht="15.75" thickBot="1">
      <c r="B51" s="491" t="s">
        <v>1215</v>
      </c>
      <c r="C51" s="485">
        <v>222</v>
      </c>
      <c r="D51" s="485" t="s">
        <v>1251</v>
      </c>
      <c r="E51" s="499">
        <v>7.8912037037037031E-2</v>
      </c>
      <c r="F51" s="493">
        <v>1.4520833333333334</v>
      </c>
    </row>
    <row r="52" spans="1:6" ht="15.75" thickBot="1">
      <c r="B52" s="491" t="s">
        <v>1216</v>
      </c>
      <c r="C52" s="485">
        <v>211</v>
      </c>
      <c r="D52" s="485" t="s">
        <v>1252</v>
      </c>
      <c r="E52" s="499">
        <v>7.9293981481481479E-2</v>
      </c>
      <c r="F52" s="493">
        <v>1.4749999999999999</v>
      </c>
    </row>
    <row r="53" spans="1:6" ht="15.75" thickBot="1">
      <c r="B53" s="491" t="s">
        <v>1217</v>
      </c>
      <c r="C53" s="485">
        <v>293</v>
      </c>
      <c r="D53" s="485" t="s">
        <v>1253</v>
      </c>
      <c r="E53" s="499">
        <v>8.0555555555555561E-2</v>
      </c>
      <c r="F53" s="493">
        <v>1.5506944444444446</v>
      </c>
    </row>
    <row r="54" spans="1:6" ht="15.75" thickBot="1">
      <c r="B54" s="491" t="s">
        <v>1218</v>
      </c>
      <c r="C54" s="485">
        <v>237</v>
      </c>
      <c r="D54" s="485" t="s">
        <v>371</v>
      </c>
      <c r="E54" s="499">
        <v>8.0682870370370363E-2</v>
      </c>
      <c r="F54" s="493">
        <v>1.5583333333333333</v>
      </c>
    </row>
    <row r="55" spans="1:6" ht="15.75" thickBot="1">
      <c r="B55" s="491" t="s">
        <v>1219</v>
      </c>
      <c r="C55" s="485">
        <v>209</v>
      </c>
      <c r="D55" s="485" t="s">
        <v>1254</v>
      </c>
      <c r="E55" s="499">
        <v>8.0844907407407407E-2</v>
      </c>
      <c r="F55" s="493">
        <v>1.5680555555555555</v>
      </c>
    </row>
    <row r="56" spans="1:6" ht="15.75" thickBot="1">
      <c r="B56" s="491" t="s">
        <v>1220</v>
      </c>
      <c r="C56" s="485">
        <v>215</v>
      </c>
      <c r="D56" s="485" t="s">
        <v>1255</v>
      </c>
      <c r="E56" s="499">
        <v>8.1157407407407414E-2</v>
      </c>
      <c r="F56" s="493">
        <v>1.5868055555555556</v>
      </c>
    </row>
    <row r="57" spans="1:6" ht="15.75" thickBot="1">
      <c r="B57" s="491" t="s">
        <v>1221</v>
      </c>
      <c r="C57" s="485">
        <v>244</v>
      </c>
      <c r="D57" s="485" t="s">
        <v>1256</v>
      </c>
      <c r="E57" s="499">
        <v>8.1342592592592591E-2</v>
      </c>
      <c r="F57" s="493">
        <v>1.5979166666666667</v>
      </c>
    </row>
    <row r="58" spans="1:6" ht="15.75" thickBot="1">
      <c r="B58" s="491" t="s">
        <v>1222</v>
      </c>
      <c r="C58" s="485">
        <v>253</v>
      </c>
      <c r="D58" s="485"/>
      <c r="E58" s="499">
        <v>8.1388888888888886E-2</v>
      </c>
      <c r="F58" s="493">
        <v>1.6006944444444444</v>
      </c>
    </row>
    <row r="59" spans="1:6" ht="15.75" thickBot="1">
      <c r="B59" s="491" t="s">
        <v>1223</v>
      </c>
      <c r="C59" s="485">
        <v>241</v>
      </c>
      <c r="D59" s="485" t="s">
        <v>1257</v>
      </c>
      <c r="E59" s="499">
        <v>8.2129629629629622E-2</v>
      </c>
      <c r="F59" s="493">
        <v>1.6451388888888889</v>
      </c>
    </row>
    <row r="60" spans="1:6" ht="15.75" thickBot="1">
      <c r="B60" s="491" t="s">
        <v>1224</v>
      </c>
      <c r="C60" s="485">
        <v>232</v>
      </c>
      <c r="D60" s="485" t="s">
        <v>1145</v>
      </c>
      <c r="E60" s="499">
        <v>8.2673611111111114E-2</v>
      </c>
      <c r="F60" s="493">
        <v>1.6777777777777778</v>
      </c>
    </row>
    <row r="61" spans="1:6" ht="15.75" thickBot="1">
      <c r="B61" s="491" t="s">
        <v>1225</v>
      </c>
      <c r="C61" s="485">
        <v>221</v>
      </c>
      <c r="D61" s="485" t="s">
        <v>1258</v>
      </c>
      <c r="E61" s="499">
        <v>8.324074074074074E-2</v>
      </c>
      <c r="F61" s="493">
        <v>1.7118055555555556</v>
      </c>
    </row>
    <row r="62" spans="1:6" ht="15.75" thickBot="1">
      <c r="B62" s="491" t="s">
        <v>1226</v>
      </c>
      <c r="C62" s="485">
        <v>205</v>
      </c>
      <c r="D62" s="485" t="s">
        <v>1259</v>
      </c>
      <c r="E62" s="499">
        <v>8.3599537037037042E-2</v>
      </c>
      <c r="F62" s="493">
        <v>1.7333333333333334</v>
      </c>
    </row>
    <row r="63" spans="1:6" ht="15.75" thickBot="1">
      <c r="B63" s="491" t="s">
        <v>1227</v>
      </c>
      <c r="C63" s="485">
        <v>230</v>
      </c>
      <c r="D63" s="485" t="s">
        <v>1260</v>
      </c>
      <c r="E63" s="499">
        <v>8.3912037037037035E-2</v>
      </c>
      <c r="F63" s="493">
        <v>1.7520833333333332</v>
      </c>
    </row>
    <row r="64" spans="1:6" ht="15.75" thickBot="1">
      <c r="B64" s="491" t="s">
        <v>1228</v>
      </c>
      <c r="C64" s="485">
        <v>240</v>
      </c>
      <c r="D64" s="485" t="s">
        <v>1261</v>
      </c>
      <c r="E64" s="499">
        <v>8.4398148148148153E-2</v>
      </c>
      <c r="F64" s="493">
        <v>1.78125</v>
      </c>
    </row>
    <row r="65" spans="2:6" ht="15.75" thickBot="1">
      <c r="B65" s="491" t="s">
        <v>1229</v>
      </c>
      <c r="C65" s="485">
        <v>251</v>
      </c>
      <c r="D65" s="485" t="s">
        <v>1262</v>
      </c>
      <c r="E65" s="499">
        <v>8.5185185185185183E-2</v>
      </c>
      <c r="F65" s="493">
        <v>1.8284722222222223</v>
      </c>
    </row>
    <row r="66" spans="2:6" ht="15.75" thickBot="1">
      <c r="B66" s="491" t="s">
        <v>1230</v>
      </c>
      <c r="C66" s="485">
        <v>225</v>
      </c>
      <c r="D66" s="485" t="s">
        <v>1263</v>
      </c>
      <c r="E66" s="499">
        <v>8.5613425925925926E-2</v>
      </c>
      <c r="F66" s="493">
        <v>1.8541666666666667</v>
      </c>
    </row>
    <row r="67" spans="2:6" ht="15.75" thickBot="1">
      <c r="B67" s="491" t="s">
        <v>1297</v>
      </c>
      <c r="C67" s="485">
        <v>242</v>
      </c>
      <c r="D67" s="485" t="s">
        <v>1264</v>
      </c>
      <c r="E67" s="499">
        <v>8.68287037037037E-2</v>
      </c>
      <c r="F67" s="493">
        <v>1.9270833333333333</v>
      </c>
    </row>
    <row r="68" spans="2:6" ht="15.75" thickBot="1">
      <c r="B68" s="494" t="s">
        <v>1298</v>
      </c>
      <c r="C68" s="495">
        <v>233</v>
      </c>
      <c r="D68" s="495" t="s">
        <v>1098</v>
      </c>
      <c r="E68" s="500">
        <v>8.8032407407407406E-2</v>
      </c>
      <c r="F68" s="497">
        <v>1.9993055555555557</v>
      </c>
    </row>
  </sheetData>
  <hyperlinks>
    <hyperlink ref="D3" r:id="rId1"/>
  </hyperlinks>
  <pageMargins left="0.11811023622047245" right="0" top="0" bottom="0" header="0.31496062992125984" footer="0.31496062992125984"/>
  <pageSetup paperSize="9" scale="90" orientation="portrait" horizontalDpi="4294967293" verticalDpi="0"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O63"/>
  <sheetViews>
    <sheetView showGridLines="0" workbookViewId="0"/>
  </sheetViews>
  <sheetFormatPr defaultRowHeight="15"/>
  <cols>
    <col min="1" max="1" width="28.42578125" customWidth="1"/>
    <col min="2" max="2" width="20.42578125" customWidth="1"/>
    <col min="4" max="4" width="1.85546875" customWidth="1"/>
    <col min="12" max="12" width="1.140625" customWidth="1"/>
  </cols>
  <sheetData>
    <row r="1" spans="1:15" ht="15.75" thickBot="1">
      <c r="A1" s="702"/>
      <c r="C1" s="108"/>
      <c r="D1" s="108"/>
      <c r="E1" s="71">
        <f>SUM(13*60+15)</f>
        <v>795</v>
      </c>
      <c r="F1" s="258">
        <f>SUM(13*60+13)</f>
        <v>793</v>
      </c>
      <c r="G1" s="258">
        <f>SUM(14*60+21)</f>
        <v>861</v>
      </c>
      <c r="H1" s="258">
        <f>SUM(12*60+43)</f>
        <v>763</v>
      </c>
      <c r="I1" s="258">
        <f>SUM(15*60+59)</f>
        <v>959</v>
      </c>
      <c r="J1" s="258">
        <f>SUM(12*60+5)</f>
        <v>725</v>
      </c>
      <c r="K1" s="258">
        <f>SUM(11*60+42)</f>
        <v>702</v>
      </c>
      <c r="L1" s="258"/>
      <c r="M1" s="114">
        <f>SUM(E1:K1)/(21.0975)-240</f>
        <v>25.339495200853207</v>
      </c>
      <c r="N1" s="181"/>
      <c r="O1" s="692"/>
    </row>
    <row r="2" spans="1:15">
      <c r="A2" s="702"/>
      <c r="B2" s="695" t="s">
        <v>1367</v>
      </c>
      <c r="C2" s="575" t="s">
        <v>282</v>
      </c>
      <c r="D2" s="121"/>
      <c r="E2" s="179" t="s">
        <v>1309</v>
      </c>
      <c r="F2" s="179" t="s">
        <v>1307</v>
      </c>
      <c r="G2" s="179" t="s">
        <v>283</v>
      </c>
      <c r="H2" s="179" t="s">
        <v>468</v>
      </c>
      <c r="I2" s="179" t="s">
        <v>1308</v>
      </c>
      <c r="J2" s="179" t="s">
        <v>287</v>
      </c>
      <c r="K2" s="179" t="s">
        <v>1120</v>
      </c>
      <c r="L2" s="179"/>
      <c r="M2" s="319" t="s">
        <v>1350</v>
      </c>
      <c r="N2" s="114">
        <f>SUM(49+10+13+44+66+14+19)/7</f>
        <v>30.714285714285715</v>
      </c>
      <c r="O2" s="108"/>
    </row>
    <row r="3" spans="1:15">
      <c r="B3" s="51" t="s">
        <v>293</v>
      </c>
      <c r="C3" s="576" t="s">
        <v>291</v>
      </c>
      <c r="D3" s="55"/>
      <c r="E3" s="176" t="s">
        <v>268</v>
      </c>
      <c r="F3" s="649" t="s">
        <v>1339</v>
      </c>
      <c r="G3" s="176" t="s">
        <v>1186</v>
      </c>
      <c r="H3" s="121" t="s">
        <v>1341</v>
      </c>
      <c r="I3" s="121" t="s">
        <v>267</v>
      </c>
      <c r="J3" s="121" t="s">
        <v>1310</v>
      </c>
      <c r="K3" s="121" t="s">
        <v>324</v>
      </c>
      <c r="L3" s="176"/>
      <c r="M3" s="270" t="s">
        <v>279</v>
      </c>
      <c r="N3" s="456"/>
      <c r="O3" s="108"/>
    </row>
    <row r="4" spans="1:15">
      <c r="B4" s="146">
        <v>2021</v>
      </c>
      <c r="C4" s="457" t="s">
        <v>269</v>
      </c>
      <c r="D4" s="460"/>
      <c r="E4" s="182" t="s">
        <v>31</v>
      </c>
      <c r="F4" s="182" t="s">
        <v>604</v>
      </c>
      <c r="G4" s="182" t="s">
        <v>626</v>
      </c>
      <c r="H4" s="182" t="s">
        <v>348</v>
      </c>
      <c r="I4" s="182" t="s">
        <v>160</v>
      </c>
      <c r="J4" s="182" t="s">
        <v>49</v>
      </c>
      <c r="K4" s="182" t="s">
        <v>38</v>
      </c>
      <c r="L4" s="182"/>
      <c r="M4" s="738" t="s">
        <v>1351</v>
      </c>
      <c r="N4" s="629">
        <v>8</v>
      </c>
    </row>
    <row r="5" spans="1:15" ht="15.75" thickBot="1">
      <c r="B5" s="321" t="s">
        <v>1338</v>
      </c>
      <c r="C5" s="576" t="s">
        <v>270</v>
      </c>
      <c r="D5" s="55"/>
      <c r="E5" s="129" t="s">
        <v>1360</v>
      </c>
      <c r="F5" s="627" t="s">
        <v>1361</v>
      </c>
      <c r="G5" s="129" t="s">
        <v>1362</v>
      </c>
      <c r="H5" s="627" t="s">
        <v>1363</v>
      </c>
      <c r="I5" s="129" t="s">
        <v>1364</v>
      </c>
      <c r="J5" s="627" t="s">
        <v>1365</v>
      </c>
      <c r="K5" s="627" t="s">
        <v>1366</v>
      </c>
      <c r="L5" s="129"/>
      <c r="M5" s="710" t="s">
        <v>1352</v>
      </c>
      <c r="N5" s="628" t="s">
        <v>1353</v>
      </c>
    </row>
    <row r="6" spans="1:15" ht="14.25" customHeight="1" thickBot="1">
      <c r="B6" s="378">
        <v>3018</v>
      </c>
      <c r="C6" s="82" t="s">
        <v>311</v>
      </c>
      <c r="D6" s="465"/>
      <c r="E6" s="384">
        <f>SUM(B7/E1)*(12*60/1000)*22.351-11.288</f>
        <v>49.226699924528305</v>
      </c>
      <c r="F6" s="384">
        <f>SUM(B6/F1)*(12*60/1000)*22.351-11.288</f>
        <v>49.957685952080695</v>
      </c>
      <c r="G6" s="74">
        <f>SUM(B6/G1)*(12*60/1000)*22.351-11.288</f>
        <v>45.120628292682923</v>
      </c>
      <c r="H6" s="74">
        <f>SUM(B6/H1)*(12*60/1000)*22.351-11.288</f>
        <v>52.36577321100917</v>
      </c>
      <c r="I6" s="74">
        <f>SUM(B6/I1)*(12*60/1000)*22.351-11.288</f>
        <v>39.356242919708023</v>
      </c>
      <c r="J6" s="74">
        <f>SUM(B6/J1)*(12*60/1000)*22.351-11.288</f>
        <v>55.702108910344819</v>
      </c>
      <c r="K6" s="74">
        <f>SUM(B6/K1)*(12*60/1000)*22.351-11.288</f>
        <v>57.896941538461533</v>
      </c>
      <c r="L6" s="580"/>
      <c r="M6" s="114">
        <f>SUM(93*60+18)/(21097.5)*1000-240</f>
        <v>25.339495200853207</v>
      </c>
      <c r="N6" s="72">
        <f>SUM(21.0975)/(93*60+18)*3600</f>
        <v>13.567524115755626</v>
      </c>
    </row>
    <row r="7" spans="1:15" ht="5.25" customHeight="1">
      <c r="B7" s="379" t="s">
        <v>1337</v>
      </c>
      <c r="C7" s="630"/>
      <c r="D7" s="630"/>
      <c r="E7" s="473">
        <f>SUM(E1)/B7*1000-240</f>
        <v>25.930757651781278</v>
      </c>
      <c r="F7" s="114">
        <f>SUM(F1)/B6*1000-240</f>
        <v>22.756792577866179</v>
      </c>
      <c r="G7" s="114">
        <f>SUM(G1)/B6*1000-240</f>
        <v>45.288270377733568</v>
      </c>
      <c r="H7" s="275">
        <f>SUM(H1)/B6*1000-240</f>
        <v>12.816434724983452</v>
      </c>
      <c r="I7" s="275">
        <f>SUM(I1)/B6*1000-300</f>
        <v>17.760106030483769</v>
      </c>
      <c r="J7" s="275">
        <f>SUM(J1)/B6*1000-240</f>
        <v>0.22531477799864774</v>
      </c>
      <c r="K7" s="275">
        <f>SUM(K1)/B6*1000-180</f>
        <v>52.604373757455278</v>
      </c>
      <c r="L7" s="631"/>
      <c r="M7" s="632"/>
      <c r="N7" s="633"/>
    </row>
    <row r="8" spans="1:15" ht="5.25" customHeight="1" thickBot="1">
      <c r="B8" s="145"/>
      <c r="C8" s="108"/>
      <c r="D8" s="108"/>
      <c r="E8" s="71">
        <f>SUM(13*60+14)</f>
        <v>794</v>
      </c>
      <c r="F8" s="258">
        <f>SUM(13*60+25)</f>
        <v>805</v>
      </c>
      <c r="G8" s="258">
        <f>SUM(14*60+15)</f>
        <v>855</v>
      </c>
      <c r="H8" s="258">
        <f>SUM(16*60+24)</f>
        <v>984</v>
      </c>
      <c r="I8" s="258">
        <f>SUM(13*60+31)</f>
        <v>811</v>
      </c>
      <c r="J8" s="258">
        <f>SUM(12*60+1)</f>
        <v>721</v>
      </c>
      <c r="K8" s="258">
        <f>SUM(15*60+40)</f>
        <v>940</v>
      </c>
      <c r="L8" s="258"/>
      <c r="M8" s="114">
        <f>SUM(E8:K8)/(21.0975)-240</f>
        <v>40.127977248489174</v>
      </c>
      <c r="N8" s="114">
        <f>SUM(E8:K8)-98*60</f>
        <v>30</v>
      </c>
      <c r="O8" s="692"/>
    </row>
    <row r="9" spans="1:15" ht="13.5" customHeight="1">
      <c r="A9" s="458"/>
      <c r="B9" s="695" t="s">
        <v>1302</v>
      </c>
      <c r="C9" s="575" t="s">
        <v>282</v>
      </c>
      <c r="D9" s="121"/>
      <c r="E9" s="475" t="s">
        <v>1173</v>
      </c>
      <c r="F9" s="179" t="s">
        <v>1187</v>
      </c>
      <c r="G9" s="179" t="s">
        <v>285</v>
      </c>
      <c r="H9" s="179" t="s">
        <v>1171</v>
      </c>
      <c r="I9" s="179" t="s">
        <v>1172</v>
      </c>
      <c r="J9" s="179" t="s">
        <v>467</v>
      </c>
      <c r="K9" s="475" t="s">
        <v>1173</v>
      </c>
      <c r="L9" s="179"/>
      <c r="M9" s="319" t="s">
        <v>1188</v>
      </c>
      <c r="N9" s="114">
        <f>SUM(20+8+11+64+47+17)/6</f>
        <v>27.833333333333332</v>
      </c>
      <c r="O9" s="108"/>
    </row>
    <row r="10" spans="1:15">
      <c r="B10" s="51" t="s">
        <v>293</v>
      </c>
      <c r="C10" s="576" t="s">
        <v>291</v>
      </c>
      <c r="D10" s="55"/>
      <c r="E10" s="476" t="s">
        <v>341</v>
      </c>
      <c r="F10" s="121" t="s">
        <v>1185</v>
      </c>
      <c r="G10" s="176" t="s">
        <v>1186</v>
      </c>
      <c r="H10" s="121" t="s">
        <v>267</v>
      </c>
      <c r="I10" s="176" t="s">
        <v>268</v>
      </c>
      <c r="J10" s="121" t="s">
        <v>324</v>
      </c>
      <c r="K10" s="476" t="s">
        <v>341</v>
      </c>
      <c r="L10" s="176"/>
      <c r="M10" s="270" t="s">
        <v>279</v>
      </c>
      <c r="N10" s="456"/>
      <c r="O10" s="108"/>
    </row>
    <row r="11" spans="1:15">
      <c r="B11" s="146">
        <v>2019</v>
      </c>
      <c r="C11" s="457" t="s">
        <v>269</v>
      </c>
      <c r="D11" s="460"/>
      <c r="E11" s="477" t="s">
        <v>657</v>
      </c>
      <c r="F11" s="182" t="s">
        <v>168</v>
      </c>
      <c r="G11" s="182" t="s">
        <v>88</v>
      </c>
      <c r="H11" s="182" t="s">
        <v>674</v>
      </c>
      <c r="I11" s="182" t="s">
        <v>660</v>
      </c>
      <c r="J11" s="148" t="s">
        <v>1189</v>
      </c>
      <c r="K11" s="477" t="s">
        <v>1190</v>
      </c>
      <c r="L11" s="182"/>
      <c r="M11" s="150" t="s">
        <v>1191</v>
      </c>
      <c r="N11" s="151">
        <v>17</v>
      </c>
    </row>
    <row r="12" spans="1:15" ht="15.75" thickBot="1">
      <c r="B12" s="321" t="s">
        <v>1118</v>
      </c>
      <c r="C12" s="576" t="s">
        <v>270</v>
      </c>
      <c r="D12" s="55"/>
      <c r="E12" s="478" t="s">
        <v>1192</v>
      </c>
      <c r="F12" s="342" t="s">
        <v>1193</v>
      </c>
      <c r="G12" s="342" t="s">
        <v>1194</v>
      </c>
      <c r="H12" s="130" t="s">
        <v>1195</v>
      </c>
      <c r="I12" s="130" t="s">
        <v>1130</v>
      </c>
      <c r="J12" s="342" t="s">
        <v>1196</v>
      </c>
      <c r="K12" s="478" t="s">
        <v>1197</v>
      </c>
      <c r="L12" s="130"/>
      <c r="M12" s="320" t="s">
        <v>1199</v>
      </c>
      <c r="N12" s="455" t="s">
        <v>1198</v>
      </c>
    </row>
    <row r="13" spans="1:15" ht="17.25" customHeight="1" thickBot="1">
      <c r="B13" s="378">
        <v>3017.5</v>
      </c>
      <c r="C13" s="82" t="s">
        <v>311</v>
      </c>
      <c r="D13" s="465"/>
      <c r="E13" s="384">
        <f>SUM(B14/E8)*(12*60/1000)*22.351-11.288</f>
        <v>49.333316775818631</v>
      </c>
      <c r="F13" s="384">
        <f>SUM(B13/F8)*(12*60/1000)*22.351-11.288</f>
        <v>49.034711304347823</v>
      </c>
      <c r="G13" s="74">
        <f>SUM(B13/G8)*(12*60/1000)*22.351-11.288</f>
        <v>45.507067368421048</v>
      </c>
      <c r="H13" s="74">
        <f>SUM(B13/H8)*(12*60/1000)*22.351-11.288</f>
        <v>38.061372560975599</v>
      </c>
      <c r="I13" s="74">
        <f>SUM(B13/I8)*(12*60/1000)*22.351-11.288</f>
        <v>48.588427373612816</v>
      </c>
      <c r="J13" s="74">
        <f>SUM(B13/J8)*(12*60/1000)*22.351-11.288</f>
        <v>56.062599999999989</v>
      </c>
      <c r="K13" s="74">
        <f>SUM(B13/K8)*(12*60/1000)*22.351-11.288</f>
        <v>40.371343191489359</v>
      </c>
      <c r="L13" s="74"/>
      <c r="M13" s="114">
        <f>SUM(98*60+50)/(21097.5)*1000-240</f>
        <v>41.075956866927356</v>
      </c>
      <c r="N13" s="72">
        <f>SUM(21.0975)/(98*60+50)*3600</f>
        <v>12.807925801011804</v>
      </c>
    </row>
    <row r="14" spans="1:15" ht="3.75" customHeight="1">
      <c r="B14" s="379" t="s">
        <v>1119</v>
      </c>
      <c r="C14" s="578"/>
      <c r="D14" s="578"/>
      <c r="E14" s="473">
        <f>SUM(E8)/B14*1000-240</f>
        <v>25.463055834169154</v>
      </c>
      <c r="F14" s="114">
        <f>SUM(F8)/B13*1000-240</f>
        <v>26.777133388566654</v>
      </c>
      <c r="G14" s="114">
        <f>SUM(G8)/B13*1000-240</f>
        <v>43.347141673570832</v>
      </c>
      <c r="H14" s="275">
        <f>SUM(H8)/B13*1000-300</f>
        <v>26.097763048881575</v>
      </c>
      <c r="I14" s="275">
        <f>SUM(I8)/B13*1000-240</f>
        <v>28.765534382767157</v>
      </c>
      <c r="J14" s="275">
        <f>SUM(J8)/B13*1000-180</f>
        <v>58.939519469759745</v>
      </c>
      <c r="K14" s="275">
        <f>SUM(K8)/B13*1000-300</f>
        <v>11.5161557580779</v>
      </c>
      <c r="L14" s="275"/>
      <c r="M14" s="581"/>
      <c r="N14" s="458"/>
    </row>
    <row r="15" spans="1:15" ht="6" customHeight="1" thickBot="1">
      <c r="B15" s="145"/>
      <c r="C15" s="108"/>
      <c r="D15" s="108"/>
      <c r="E15" s="474">
        <f>SUM(13*60+23)</f>
        <v>803</v>
      </c>
      <c r="F15" s="258">
        <f>SUM(15*60+10)</f>
        <v>910</v>
      </c>
      <c r="G15" s="258">
        <f>SUM(13*60+52)</f>
        <v>832</v>
      </c>
      <c r="H15" s="258">
        <f>SUM(12*60+51)</f>
        <v>771</v>
      </c>
      <c r="I15" s="258">
        <f>SUM(13*60+31)</f>
        <v>811</v>
      </c>
      <c r="J15" s="258">
        <f>SUM(16*60+13)</f>
        <v>973</v>
      </c>
      <c r="K15" s="258">
        <f>SUM(13*60+5)</f>
        <v>785</v>
      </c>
      <c r="L15" s="258"/>
      <c r="M15" s="114">
        <f>SUM(E15:K15)/(21.0975)-240</f>
        <v>38.943002725441374</v>
      </c>
      <c r="N15" s="380"/>
      <c r="O15" s="391"/>
    </row>
    <row r="16" spans="1:15" ht="13.5" customHeight="1">
      <c r="B16" s="69"/>
      <c r="C16" s="268" t="s">
        <v>282</v>
      </c>
      <c r="D16" s="461"/>
      <c r="E16" s="179" t="s">
        <v>466</v>
      </c>
      <c r="F16" s="179" t="s">
        <v>1000</v>
      </c>
      <c r="G16" s="179" t="s">
        <v>300</v>
      </c>
      <c r="H16" s="179" t="s">
        <v>344</v>
      </c>
      <c r="I16" s="328" t="s">
        <v>1120</v>
      </c>
      <c r="J16" s="329" t="s">
        <v>1120</v>
      </c>
      <c r="K16" s="179" t="s">
        <v>344</v>
      </c>
      <c r="L16" s="179"/>
      <c r="M16" s="319" t="s">
        <v>1122</v>
      </c>
      <c r="N16" s="114">
        <f>SUM(15+63+46+16+19)/5</f>
        <v>31.8</v>
      </c>
    </row>
    <row r="17" spans="1:15">
      <c r="B17" s="51" t="s">
        <v>293</v>
      </c>
      <c r="C17" s="269" t="s">
        <v>291</v>
      </c>
      <c r="D17" s="462"/>
      <c r="E17" s="176" t="s">
        <v>266</v>
      </c>
      <c r="F17" s="121" t="s">
        <v>267</v>
      </c>
      <c r="G17" s="176" t="s">
        <v>268</v>
      </c>
      <c r="H17" s="121" t="s">
        <v>324</v>
      </c>
      <c r="I17" s="330" t="s">
        <v>341</v>
      </c>
      <c r="J17" s="331" t="s">
        <v>341</v>
      </c>
      <c r="K17" s="127" t="s">
        <v>324</v>
      </c>
      <c r="L17" s="127"/>
      <c r="M17" s="270" t="s">
        <v>279</v>
      </c>
      <c r="N17" s="351"/>
    </row>
    <row r="18" spans="1:15">
      <c r="B18" s="146">
        <v>2018</v>
      </c>
      <c r="C18" s="147" t="s">
        <v>269</v>
      </c>
      <c r="D18" s="463"/>
      <c r="E18" s="182" t="s">
        <v>27</v>
      </c>
      <c r="F18" s="182" t="s">
        <v>239</v>
      </c>
      <c r="G18" s="182" t="s">
        <v>569</v>
      </c>
      <c r="H18" s="148" t="s">
        <v>120</v>
      </c>
      <c r="I18" s="332" t="s">
        <v>660</v>
      </c>
      <c r="J18" s="333" t="s">
        <v>1124</v>
      </c>
      <c r="K18" s="148" t="s">
        <v>491</v>
      </c>
      <c r="L18" s="148"/>
      <c r="M18" s="150" t="s">
        <v>597</v>
      </c>
      <c r="N18" s="151">
        <v>14</v>
      </c>
    </row>
    <row r="19" spans="1:15" ht="15.75" thickBot="1">
      <c r="B19" s="321" t="s">
        <v>1118</v>
      </c>
      <c r="C19" s="269" t="s">
        <v>270</v>
      </c>
      <c r="D19" s="464"/>
      <c r="E19" s="342" t="s">
        <v>1126</v>
      </c>
      <c r="F19" s="130" t="s">
        <v>1127</v>
      </c>
      <c r="G19" s="130" t="s">
        <v>1131</v>
      </c>
      <c r="H19" s="130" t="s">
        <v>1129</v>
      </c>
      <c r="I19" s="334" t="s">
        <v>1130</v>
      </c>
      <c r="J19" s="335" t="s">
        <v>1132</v>
      </c>
      <c r="K19" s="130" t="s">
        <v>1128</v>
      </c>
      <c r="L19" s="130"/>
      <c r="M19" s="320" t="s">
        <v>1125</v>
      </c>
      <c r="N19" s="455" t="s">
        <v>1184</v>
      </c>
    </row>
    <row r="20" spans="1:15" ht="12.75" customHeight="1" thickBot="1">
      <c r="B20" s="378">
        <v>3017.5</v>
      </c>
      <c r="C20" s="82" t="s">
        <v>311</v>
      </c>
      <c r="D20" s="465"/>
      <c r="E20" s="384">
        <f>SUM(B21/E15)*(12*60/1000)*22.351-11.288</f>
        <v>48.65387486924034</v>
      </c>
      <c r="F20" s="384">
        <f>SUM(B20/F15)*(12*60/1000)*22.351-11.288</f>
        <v>42.074398461538465</v>
      </c>
      <c r="G20" s="74">
        <f>SUM(B20/G15)*(12*60/1000)*22.351-11.288</f>
        <v>47.077123317307695</v>
      </c>
      <c r="H20" s="74">
        <f>SUM(B20/H15)*(12*60/1000)*22.351-11.288</f>
        <v>51.694856809338518</v>
      </c>
      <c r="I20" s="74">
        <f>SUM(B20/I15)*(12*60/1000)*22.351-11.288</f>
        <v>48.588427373612816</v>
      </c>
      <c r="J20" s="74">
        <f>SUM(B20/J15)*(12*60/1000)*22.351-11.288</f>
        <v>38.619279136690636</v>
      </c>
      <c r="K20" s="74">
        <f>SUM(B20/K15)*(12*60/1000)*22.351-11.288</f>
        <v>50.571595668789797</v>
      </c>
      <c r="L20" s="74"/>
      <c r="M20" s="114">
        <f>SUM(98*60+5)/(21097.5)*1000-240</f>
        <v>38.943002725441431</v>
      </c>
      <c r="N20" s="72">
        <f>SUM(21.0975)/(98*60+5)*3600</f>
        <v>12.905862361937128</v>
      </c>
    </row>
    <row r="21" spans="1:15" ht="6" customHeight="1">
      <c r="B21" s="379" t="s">
        <v>1119</v>
      </c>
      <c r="C21" s="256"/>
      <c r="D21" s="256"/>
      <c r="E21" s="473">
        <f>SUM(E15)/B21*1000-240</f>
        <v>28.472082915412898</v>
      </c>
      <c r="F21" s="114">
        <f>SUM(F15)/B20*1000-300</f>
        <v>1.5741507870753821</v>
      </c>
      <c r="G21" s="114">
        <f>SUM(G15)/B20*1000-240</f>
        <v>35.724937862468948</v>
      </c>
      <c r="H21" s="275">
        <f>SUM(H15)/B20*1000-240</f>
        <v>15.509527754763866</v>
      </c>
      <c r="I21" s="275">
        <f>SUM(I15)/B20*1000-240</f>
        <v>28.765534382767157</v>
      </c>
      <c r="J21" s="275">
        <f>SUM(J15)/B20*1000-300</f>
        <v>22.452361226180585</v>
      </c>
      <c r="K21" s="275">
        <f>SUM(K15)/B20*1000-240</f>
        <v>20.149130074565051</v>
      </c>
      <c r="L21" s="275"/>
      <c r="M21" s="257"/>
      <c r="N21" s="157"/>
    </row>
    <row r="22" spans="1:15" ht="4.5" customHeight="1" thickBot="1">
      <c r="E22" s="474">
        <f>SUM(19*60+5)</f>
        <v>1145</v>
      </c>
      <c r="F22" s="258">
        <f>SUM(18*60+9)</f>
        <v>1089</v>
      </c>
      <c r="G22" s="258">
        <f>SUM(17*60+22)</f>
        <v>1042</v>
      </c>
      <c r="H22" s="258">
        <f>SUM(17*60+22)</f>
        <v>1042</v>
      </c>
      <c r="I22" s="258">
        <f>SUM(14*60+40)</f>
        <v>880</v>
      </c>
      <c r="J22" s="258">
        <f>SUM(16*60+25)</f>
        <v>985</v>
      </c>
      <c r="K22" s="392"/>
      <c r="L22" s="392"/>
      <c r="M22" s="114">
        <f>SUM(E22:J22)/(21.0975)-240</f>
        <v>53.06789904017063</v>
      </c>
      <c r="N22" s="114">
        <f>SUM(63+62+45+15+18)/5</f>
        <v>40.6</v>
      </c>
    </row>
    <row r="23" spans="1:15" ht="13.5" customHeight="1">
      <c r="B23" s="69"/>
      <c r="C23" s="268" t="s">
        <v>282</v>
      </c>
      <c r="D23" s="461"/>
      <c r="E23" s="179" t="s">
        <v>1000</v>
      </c>
      <c r="F23" s="179" t="s">
        <v>1024</v>
      </c>
      <c r="G23" s="328" t="s">
        <v>1023</v>
      </c>
      <c r="H23" s="329" t="s">
        <v>1023</v>
      </c>
      <c r="I23" s="179" t="s">
        <v>466</v>
      </c>
      <c r="J23" s="178" t="s">
        <v>1022</v>
      </c>
      <c r="K23" s="16"/>
      <c r="L23" s="16"/>
      <c r="M23" s="319" t="s">
        <v>1150</v>
      </c>
      <c r="N23" s="114">
        <f>SUM(63+62+45+15+18)/5</f>
        <v>40.6</v>
      </c>
    </row>
    <row r="24" spans="1:15">
      <c r="B24" s="51" t="s">
        <v>293</v>
      </c>
      <c r="C24" s="269" t="s">
        <v>291</v>
      </c>
      <c r="D24" s="464"/>
      <c r="E24" s="121" t="s">
        <v>1030</v>
      </c>
      <c r="F24" s="127" t="s">
        <v>267</v>
      </c>
      <c r="G24" s="330" t="s">
        <v>268</v>
      </c>
      <c r="H24" s="331" t="s">
        <v>268</v>
      </c>
      <c r="I24" s="127" t="s">
        <v>324</v>
      </c>
      <c r="J24" s="176" t="s">
        <v>341</v>
      </c>
      <c r="K24" s="16"/>
      <c r="L24" s="16"/>
      <c r="M24" s="270" t="s">
        <v>279</v>
      </c>
      <c r="N24" s="351"/>
    </row>
    <row r="25" spans="1:15">
      <c r="B25" s="146">
        <v>2017</v>
      </c>
      <c r="C25" s="147" t="s">
        <v>269</v>
      </c>
      <c r="D25" s="463"/>
      <c r="E25" s="182" t="s">
        <v>798</v>
      </c>
      <c r="F25" s="148" t="s">
        <v>1036</v>
      </c>
      <c r="G25" s="332" t="s">
        <v>1029</v>
      </c>
      <c r="H25" s="333" t="s">
        <v>1029</v>
      </c>
      <c r="I25" s="148" t="s">
        <v>167</v>
      </c>
      <c r="J25" s="148" t="s">
        <v>691</v>
      </c>
      <c r="K25" s="151"/>
      <c r="L25" s="151"/>
      <c r="M25" s="150" t="s">
        <v>1035</v>
      </c>
      <c r="N25" s="151">
        <v>19</v>
      </c>
      <c r="O25" s="108"/>
    </row>
    <row r="26" spans="1:15" ht="15.75" thickBot="1">
      <c r="A26" s="582" t="s">
        <v>1311</v>
      </c>
      <c r="B26" s="321" t="s">
        <v>1027</v>
      </c>
      <c r="C26" s="269" t="s">
        <v>270</v>
      </c>
      <c r="D26" s="464"/>
      <c r="E26" s="342" t="s">
        <v>1041</v>
      </c>
      <c r="F26" s="130" t="s">
        <v>1037</v>
      </c>
      <c r="G26" s="334" t="s">
        <v>1038</v>
      </c>
      <c r="H26" s="335" t="s">
        <v>1038</v>
      </c>
      <c r="I26" s="110" t="s">
        <v>1039</v>
      </c>
      <c r="J26" s="130" t="s">
        <v>1040</v>
      </c>
      <c r="K26" s="135"/>
      <c r="L26" s="135"/>
      <c r="M26" s="320" t="s">
        <v>1034</v>
      </c>
      <c r="N26" s="455" t="s">
        <v>1183</v>
      </c>
    </row>
    <row r="27" spans="1:15" ht="12.75" customHeight="1" thickBot="1">
      <c r="B27" s="378">
        <v>3460</v>
      </c>
      <c r="C27" s="82" t="s">
        <v>311</v>
      </c>
      <c r="D27" s="465"/>
      <c r="E27" s="384">
        <f>SUM(B28/E22)*(12*60/1000)*22.351-11.288</f>
        <v>42.085016768558944</v>
      </c>
      <c r="F27" s="74">
        <f>SUM(B27/F22)*(12*60/1000)*22.351-11.288</f>
        <v>39.842221487603297</v>
      </c>
      <c r="G27" s="74">
        <f>SUM(B27/G22)*(12*60/1000)*22.351-11.288</f>
        <v>42.148479078694805</v>
      </c>
      <c r="H27" s="74">
        <f>SUM(B27/H22)*(12*60/1000)*22.351-11.288</f>
        <v>42.148479078694805</v>
      </c>
      <c r="I27" s="74">
        <f>SUM(B27/I22)*(12*60/1000)*22.351-11.288</f>
        <v>51.985649090909078</v>
      </c>
      <c r="J27" s="74">
        <f>SUM(B27/J22)*(12*60/1000)*22.351-11.288</f>
        <v>45.240742335025374</v>
      </c>
      <c r="K27" s="16"/>
      <c r="L27" s="16"/>
      <c r="M27" s="114">
        <f>SUM(103*60+3)/(21097.5)*1000-240</f>
        <v>53.06789904017063</v>
      </c>
      <c r="N27" s="72">
        <f>SUM(21.0975)/(103*60+3)*3600</f>
        <v>12.283842794759824</v>
      </c>
    </row>
    <row r="28" spans="1:15" ht="4.5" customHeight="1">
      <c r="B28" s="379" t="s">
        <v>1028</v>
      </c>
      <c r="C28" s="256"/>
      <c r="D28" s="256"/>
      <c r="E28" s="114">
        <f>SUM(E22)/B28*1000-300</f>
        <v>1.514154048716307</v>
      </c>
      <c r="F28" s="114">
        <f>SUM(F22)/B27*1000-300</f>
        <v>14.739884393063619</v>
      </c>
      <c r="G28" s="114">
        <f>SUM(G22)/B27*1000-300</f>
        <v>1.1560693641618514</v>
      </c>
      <c r="H28" s="114">
        <f>SUM(H22)/B27*1000-300</f>
        <v>1.1560693641618514</v>
      </c>
      <c r="I28" s="114">
        <f>SUM(I22)/B27*1000-240</f>
        <v>14.335260115606928</v>
      </c>
      <c r="J28" s="114">
        <f>SUM(J22)/B27*1000-240</f>
        <v>44.682080924855484</v>
      </c>
      <c r="K28" s="256"/>
      <c r="L28" s="256"/>
      <c r="M28" s="257"/>
      <c r="N28" s="157"/>
    </row>
    <row r="29" spans="1:15" ht="4.5" customHeight="1" thickBot="1">
      <c r="C29" s="108"/>
      <c r="D29" s="108"/>
      <c r="E29" s="71">
        <f>SUM(12*60+41)</f>
        <v>761</v>
      </c>
      <c r="F29" s="72">
        <f>SUM(12*60+50)</f>
        <v>770</v>
      </c>
      <c r="G29" s="258">
        <f>SUM(13*60+55)</f>
        <v>835</v>
      </c>
      <c r="H29" s="258">
        <f>SUM(15*60+37)</f>
        <v>937</v>
      </c>
      <c r="I29" s="258">
        <f>SUM(13*60+6)</f>
        <v>786</v>
      </c>
      <c r="J29" s="258">
        <f>SUM(13*60+37)</f>
        <v>817</v>
      </c>
      <c r="K29" s="258">
        <f>SUM(15*60+23)</f>
        <v>923</v>
      </c>
      <c r="L29" s="258"/>
      <c r="M29" s="114">
        <f>SUM(E29:K29)/(21.0975)-240</f>
        <v>36.288659793814418</v>
      </c>
    </row>
    <row r="30" spans="1:15" ht="13.5" customHeight="1">
      <c r="B30" s="259" t="s">
        <v>1303</v>
      </c>
      <c r="C30" s="268" t="s">
        <v>282</v>
      </c>
      <c r="D30" s="113"/>
      <c r="E30" s="178" t="s">
        <v>288</v>
      </c>
      <c r="F30" s="178" t="s">
        <v>467</v>
      </c>
      <c r="G30" s="178" t="s">
        <v>466</v>
      </c>
      <c r="H30" s="178" t="s">
        <v>283</v>
      </c>
      <c r="I30" s="179" t="s">
        <v>287</v>
      </c>
      <c r="J30" s="179" t="s">
        <v>468</v>
      </c>
      <c r="K30" s="179" t="s">
        <v>284</v>
      </c>
      <c r="L30" s="180"/>
      <c r="M30" s="319" t="s">
        <v>469</v>
      </c>
      <c r="N30" s="114">
        <f>SUM(42+17+15+13+14+44+61)/7</f>
        <v>29.428571428571427</v>
      </c>
    </row>
    <row r="31" spans="1:15" ht="12" customHeight="1">
      <c r="B31" s="51" t="s">
        <v>1002</v>
      </c>
      <c r="C31" s="269" t="s">
        <v>291</v>
      </c>
      <c r="D31" s="462"/>
      <c r="E31" s="121" t="s">
        <v>309</v>
      </c>
      <c r="F31" s="176" t="s">
        <v>341</v>
      </c>
      <c r="G31" s="176" t="s">
        <v>264</v>
      </c>
      <c r="H31" s="177" t="s">
        <v>266</v>
      </c>
      <c r="I31" s="127" t="s">
        <v>324</v>
      </c>
      <c r="J31" s="176" t="s">
        <v>268</v>
      </c>
      <c r="K31" s="121" t="s">
        <v>267</v>
      </c>
      <c r="L31" s="127"/>
      <c r="M31" s="270" t="s">
        <v>279</v>
      </c>
      <c r="N31" s="37"/>
    </row>
    <row r="32" spans="1:15">
      <c r="B32" s="146">
        <v>2016</v>
      </c>
      <c r="C32" s="147" t="s">
        <v>269</v>
      </c>
      <c r="D32" s="466"/>
      <c r="E32" s="148" t="s">
        <v>560</v>
      </c>
      <c r="F32" s="148" t="s">
        <v>307</v>
      </c>
      <c r="G32" s="148" t="s">
        <v>553</v>
      </c>
      <c r="H32" s="148" t="s">
        <v>215</v>
      </c>
      <c r="I32" s="148" t="s">
        <v>574</v>
      </c>
      <c r="J32" s="182" t="s">
        <v>575</v>
      </c>
      <c r="K32" s="182" t="s">
        <v>185</v>
      </c>
      <c r="L32" s="148"/>
      <c r="M32" s="150" t="s">
        <v>576</v>
      </c>
      <c r="N32" s="151">
        <v>10</v>
      </c>
    </row>
    <row r="33" spans="2:15" ht="15.75" thickBot="1">
      <c r="B33" s="321" t="s">
        <v>446</v>
      </c>
      <c r="C33" s="269" t="s">
        <v>270</v>
      </c>
      <c r="D33" s="462"/>
      <c r="E33" s="110" t="s">
        <v>944</v>
      </c>
      <c r="F33" s="130" t="s">
        <v>945</v>
      </c>
      <c r="G33" s="110" t="s">
        <v>946</v>
      </c>
      <c r="H33" s="110" t="s">
        <v>947</v>
      </c>
      <c r="I33" s="110" t="s">
        <v>948</v>
      </c>
      <c r="J33" s="130" t="s">
        <v>949</v>
      </c>
      <c r="K33" s="130" t="s">
        <v>950</v>
      </c>
      <c r="L33" s="112"/>
      <c r="M33" s="320" t="s">
        <v>927</v>
      </c>
      <c r="N33" s="455" t="s">
        <v>1182</v>
      </c>
    </row>
    <row r="34" spans="2:15" ht="11.25" customHeight="1" thickBot="1">
      <c r="B34" s="70">
        <v>3013.7150000000001</v>
      </c>
      <c r="C34" s="82" t="s">
        <v>311</v>
      </c>
      <c r="D34" s="467"/>
      <c r="E34" s="74">
        <f>SUM(B34/E29)*(12*60/1000)*22.351-11.288</f>
        <v>52.44244895505912</v>
      </c>
      <c r="F34" s="74">
        <f>SUM(B34/F29)*(12*60/1000)*22.351-11.288</f>
        <v>51.697547603636366</v>
      </c>
      <c r="G34" s="74">
        <f>SUM(B34/G29)*(12*60/1000)*22.351-11.288</f>
        <v>46.794481023712578</v>
      </c>
      <c r="H34" s="74">
        <f>SUM(B34/H29)*(12*60/1000)*22.351-11.288</f>
        <v>40.471734957097112</v>
      </c>
      <c r="I34" s="74">
        <f>SUM(B34/I29)*(12*60/1000)*22.351-11.288</f>
        <v>50.415399051908395</v>
      </c>
      <c r="J34" s="384">
        <f>SUM(B34/J29)*(12*60/1000)*22.351-11.288</f>
        <v>48.074144008323131</v>
      </c>
      <c r="K34" s="384">
        <f>SUM(B34/K29)*(12*60/1000)*22.351-11.288</f>
        <v>41.256823027952322</v>
      </c>
      <c r="L34" s="74"/>
      <c r="M34" s="327">
        <f>SUM(97*60+6)/(3013.715*7)*1000-240</f>
        <v>36.166032383856589</v>
      </c>
      <c r="N34" s="72">
        <f>SUM(21.0975)/(97*60+6)*3600</f>
        <v>13.036560247167868</v>
      </c>
    </row>
    <row r="35" spans="2:15" ht="5.25" customHeight="1">
      <c r="C35" s="107"/>
      <c r="D35" s="107"/>
      <c r="E35" s="114">
        <f>SUM(E29)/B34*1000-240</f>
        <v>12.512264762925497</v>
      </c>
      <c r="F35" s="114">
        <f>SUM(F29)/B34*1000-240</f>
        <v>15.498612177992925</v>
      </c>
      <c r="G35" s="114">
        <f>SUM(G29)/B34*1000-240</f>
        <v>37.066676842368963</v>
      </c>
      <c r="H35" s="114">
        <f>SUM(H29)/B34*1000-300</f>
        <v>10.911947546466706</v>
      </c>
      <c r="I35" s="114">
        <f>SUM(I29)/B34*1000-240</f>
        <v>20.807674249223965</v>
      </c>
      <c r="J35" s="473">
        <f>SUM(J29)/B34*1000-240</f>
        <v>31.093982012234051</v>
      </c>
      <c r="K35" s="473">
        <f>SUM(K29)/B34*1000-300</f>
        <v>6.2665182341395962</v>
      </c>
      <c r="L35" s="114"/>
      <c r="M35" s="108"/>
    </row>
    <row r="36" spans="2:15" ht="4.5" customHeight="1" thickBot="1">
      <c r="C36" s="108"/>
      <c r="D36" s="108"/>
      <c r="E36" s="324">
        <f>SUM(17*60+35)</f>
        <v>1055</v>
      </c>
      <c r="F36" s="72">
        <f>SUM(18*60+14)</f>
        <v>1094</v>
      </c>
      <c r="G36" s="258">
        <f>SUM(18*60+12)</f>
        <v>1092</v>
      </c>
      <c r="H36" s="258">
        <f>SUM(17*60+15)</f>
        <v>1035</v>
      </c>
      <c r="I36" s="258">
        <f>SUM(17*60+30)</f>
        <v>1050</v>
      </c>
      <c r="J36" s="480">
        <f>SUM(17*60+50)</f>
        <v>1070</v>
      </c>
      <c r="K36" s="480">
        <f>SUM(17*60+18)</f>
        <v>1038</v>
      </c>
      <c r="L36" s="258"/>
      <c r="M36" s="114">
        <f>SUM(E36:K36)/(21.0975)-300</f>
        <v>52.364024173480288</v>
      </c>
    </row>
    <row r="37" spans="2:15" ht="13.5" customHeight="1">
      <c r="B37" s="69"/>
      <c r="C37" s="268" t="s">
        <v>282</v>
      </c>
      <c r="D37" s="113"/>
      <c r="E37" s="21" t="s">
        <v>1000</v>
      </c>
      <c r="F37" s="23" t="s">
        <v>344</v>
      </c>
      <c r="G37" s="271" t="s">
        <v>1000</v>
      </c>
      <c r="H37" s="272" t="s">
        <v>344</v>
      </c>
      <c r="I37" s="271" t="s">
        <v>1000</v>
      </c>
      <c r="J37" s="272" t="s">
        <v>344</v>
      </c>
      <c r="K37" s="272" t="s">
        <v>1000</v>
      </c>
      <c r="L37" s="271"/>
      <c r="M37" s="319" t="s">
        <v>1011</v>
      </c>
      <c r="N37" s="114">
        <f>SUM(63+16)/2</f>
        <v>39.5</v>
      </c>
    </row>
    <row r="38" spans="2:15">
      <c r="B38" s="51" t="s">
        <v>1001</v>
      </c>
      <c r="C38" s="269" t="s">
        <v>291</v>
      </c>
      <c r="D38" s="462"/>
      <c r="E38" s="17" t="s">
        <v>265</v>
      </c>
      <c r="F38" s="22" t="s">
        <v>281</v>
      </c>
      <c r="G38" s="273" t="s">
        <v>265</v>
      </c>
      <c r="H38" s="274" t="s">
        <v>281</v>
      </c>
      <c r="I38" s="273" t="s">
        <v>265</v>
      </c>
      <c r="J38" s="274" t="s">
        <v>281</v>
      </c>
      <c r="K38" s="274" t="s">
        <v>265</v>
      </c>
      <c r="L38" s="273"/>
      <c r="M38" s="270" t="s">
        <v>279</v>
      </c>
      <c r="N38" s="37"/>
    </row>
    <row r="39" spans="2:15">
      <c r="B39" s="265">
        <v>2016</v>
      </c>
      <c r="C39" s="266" t="s">
        <v>269</v>
      </c>
      <c r="D39" s="468"/>
      <c r="E39" s="196" t="s">
        <v>856</v>
      </c>
      <c r="F39" s="196" t="s">
        <v>646</v>
      </c>
      <c r="G39" s="196" t="s">
        <v>829</v>
      </c>
      <c r="H39" s="196" t="s">
        <v>665</v>
      </c>
      <c r="I39" s="196" t="s">
        <v>857</v>
      </c>
      <c r="J39" s="481" t="s">
        <v>200</v>
      </c>
      <c r="K39" s="481" t="s">
        <v>661</v>
      </c>
      <c r="L39" s="196"/>
      <c r="M39" s="278" t="s">
        <v>858</v>
      </c>
      <c r="N39" s="267">
        <v>50</v>
      </c>
    </row>
    <row r="40" spans="2:15" ht="15.75" thickBot="1">
      <c r="B40" s="51" t="s">
        <v>446</v>
      </c>
      <c r="C40" s="269" t="s">
        <v>270</v>
      </c>
      <c r="D40" s="462"/>
      <c r="E40" s="279" t="s">
        <v>1003</v>
      </c>
      <c r="F40" s="158" t="s">
        <v>1004</v>
      </c>
      <c r="G40" s="279" t="s">
        <v>1005</v>
      </c>
      <c r="H40" s="279" t="s">
        <v>1006</v>
      </c>
      <c r="I40" s="279" t="s">
        <v>1007</v>
      </c>
      <c r="J40" s="158" t="s">
        <v>1008</v>
      </c>
      <c r="K40" s="158" t="s">
        <v>1009</v>
      </c>
      <c r="L40" s="280"/>
      <c r="M40" s="281" t="s">
        <v>1010</v>
      </c>
      <c r="N40" s="455" t="s">
        <v>1180</v>
      </c>
    </row>
    <row r="41" spans="2:15" ht="6.75" customHeight="1" thickBot="1">
      <c r="B41" s="70">
        <v>3013.7150000000001</v>
      </c>
      <c r="C41" s="277" t="s">
        <v>311</v>
      </c>
      <c r="D41" s="469"/>
      <c r="E41" s="275">
        <f>SUM(B41/E36)*(12*60/1000)*22.351-11.288</f>
        <v>34.682494459526055</v>
      </c>
      <c r="F41" s="275">
        <f>SUM(B41/F36)*(12*60/1000)*22.351-11.288</f>
        <v>33.043692554661789</v>
      </c>
      <c r="G41" s="275">
        <f>SUM(B41/G36)*(12*60/1000)*22.351-11.288</f>
        <v>33.124886130769227</v>
      </c>
      <c r="H41" s="275">
        <f>SUM(B41/H36)*(12*60/1000)*22.351-11.288</f>
        <v>35.570813193043477</v>
      </c>
      <c r="I41" s="275">
        <f>SUM(B41/I36)*(12*60/1000)*22.351-11.288</f>
        <v>34.901401575999998</v>
      </c>
      <c r="J41" s="482">
        <f>SUM(B41/J36)*(12*60/1000)*22.351-11.288</f>
        <v>34.038048275514015</v>
      </c>
      <c r="K41" s="482">
        <f>SUM(B41/K36)*(12*60/1000)*22.351-11.288</f>
        <v>35.43538309710982</v>
      </c>
      <c r="L41" s="275"/>
      <c r="M41" s="18">
        <f>SUM(123*60+51)/(3014*7)*1000-300</f>
        <v>52.213479950706244</v>
      </c>
      <c r="N41" s="72">
        <f>SUM(21.0975)/(123*60+51)*3600</f>
        <v>10.220831651190956</v>
      </c>
      <c r="O41" s="145"/>
    </row>
    <row r="42" spans="2:15" ht="5.25" customHeight="1">
      <c r="C42" s="107"/>
      <c r="D42" s="107"/>
      <c r="E42" s="114">
        <f>SUM(E36)/B41*1000-300</f>
        <v>50.066280321795489</v>
      </c>
      <c r="F42" s="114">
        <f>SUM(F36)/B41*1000-360</f>
        <v>3.0071191204211232</v>
      </c>
      <c r="G42" s="114">
        <f>SUM(G36)/B41*1000-360</f>
        <v>2.3434863615172503</v>
      </c>
      <c r="H42" s="114">
        <f>SUM(H36)/B41*1000-300</f>
        <v>43.429952732756703</v>
      </c>
      <c r="I42" s="114">
        <f>SUM(I36)/B41*1000-300</f>
        <v>48.407198424535807</v>
      </c>
      <c r="J42" s="473">
        <f>SUM(J36)/B41*1000-300</f>
        <v>55.043526013574592</v>
      </c>
      <c r="K42" s="473">
        <f>SUM(K36)/B41*1000-300</f>
        <v>44.425401871112513</v>
      </c>
      <c r="L42" s="114"/>
      <c r="M42" s="276"/>
      <c r="O42" s="145"/>
    </row>
    <row r="43" spans="2:15" ht="5.25" customHeight="1" thickBot="1">
      <c r="B43" s="145"/>
      <c r="C43" s="145"/>
      <c r="D43" s="145"/>
      <c r="E43" s="71">
        <f>SUM(11*60+50)</f>
        <v>710</v>
      </c>
      <c r="F43" s="72">
        <f>SUM(13*60+25)</f>
        <v>805</v>
      </c>
      <c r="G43" s="72">
        <f>SUM(14*60+25)</f>
        <v>865</v>
      </c>
      <c r="H43" s="72">
        <f>SUM(14*60+1)</f>
        <v>841</v>
      </c>
      <c r="I43" s="72">
        <f>SUM(12*60+43)</f>
        <v>763</v>
      </c>
      <c r="J43" s="483">
        <f>SUM(13*60+8)</f>
        <v>788</v>
      </c>
      <c r="K43" s="483">
        <f>SUM(14*60+47)</f>
        <v>887</v>
      </c>
      <c r="L43" s="72"/>
      <c r="M43" s="114">
        <f>SUM(E43:K43)/(21.0975)-240</f>
        <v>28.230833037089724</v>
      </c>
      <c r="N43" s="145"/>
    </row>
    <row r="44" spans="2:15" ht="13.5" customHeight="1">
      <c r="B44" s="69"/>
      <c r="C44" s="29" t="s">
        <v>282</v>
      </c>
      <c r="D44" s="22"/>
      <c r="E44" s="21" t="s">
        <v>342</v>
      </c>
      <c r="F44" s="21" t="s">
        <v>287</v>
      </c>
      <c r="G44" s="21" t="s">
        <v>343</v>
      </c>
      <c r="H44" s="21" t="s">
        <v>283</v>
      </c>
      <c r="I44" s="23" t="s">
        <v>344</v>
      </c>
      <c r="J44" s="23" t="s">
        <v>345</v>
      </c>
      <c r="K44" s="23" t="s">
        <v>346</v>
      </c>
      <c r="L44" s="25"/>
      <c r="M44" s="26" t="s">
        <v>447</v>
      </c>
      <c r="N44" s="139">
        <f>SUM(41+14+12+13+16+43+60)/7</f>
        <v>28.428571428571427</v>
      </c>
    </row>
    <row r="45" spans="2:15">
      <c r="B45" s="51" t="s">
        <v>293</v>
      </c>
      <c r="C45" s="30" t="s">
        <v>291</v>
      </c>
      <c r="D45" s="23"/>
      <c r="E45" s="113" t="s">
        <v>309</v>
      </c>
      <c r="F45" s="22" t="s">
        <v>264</v>
      </c>
      <c r="G45" s="17" t="s">
        <v>266</v>
      </c>
      <c r="H45" s="109" t="s">
        <v>324</v>
      </c>
      <c r="I45" s="22" t="s">
        <v>341</v>
      </c>
      <c r="J45" s="22" t="s">
        <v>268</v>
      </c>
      <c r="K45" s="113" t="s">
        <v>267</v>
      </c>
      <c r="L45" s="109"/>
      <c r="M45" s="27" t="s">
        <v>279</v>
      </c>
      <c r="N45" s="37"/>
    </row>
    <row r="46" spans="2:15">
      <c r="B46" s="146">
        <v>2015</v>
      </c>
      <c r="C46" s="147" t="s">
        <v>269</v>
      </c>
      <c r="D46" s="466"/>
      <c r="E46" s="148" t="s">
        <v>347</v>
      </c>
      <c r="F46" s="148" t="s">
        <v>168</v>
      </c>
      <c r="G46" s="148" t="s">
        <v>124</v>
      </c>
      <c r="H46" s="148" t="s">
        <v>226</v>
      </c>
      <c r="I46" s="182" t="s">
        <v>348</v>
      </c>
      <c r="J46" s="182" t="s">
        <v>349</v>
      </c>
      <c r="K46" s="182" t="s">
        <v>350</v>
      </c>
      <c r="L46" s="149"/>
      <c r="M46" s="322" t="s">
        <v>340</v>
      </c>
      <c r="N46" s="151">
        <v>18</v>
      </c>
    </row>
    <row r="47" spans="2:15" ht="15.75" thickBot="1">
      <c r="B47" s="51" t="s">
        <v>446</v>
      </c>
      <c r="C47" s="30" t="s">
        <v>270</v>
      </c>
      <c r="D47" s="23"/>
      <c r="E47" s="341" t="s">
        <v>936</v>
      </c>
      <c r="F47" s="110" t="s">
        <v>937</v>
      </c>
      <c r="G47" s="110" t="s">
        <v>938</v>
      </c>
      <c r="H47" s="110" t="s">
        <v>939</v>
      </c>
      <c r="I47" s="342" t="s">
        <v>940</v>
      </c>
      <c r="J47" s="342" t="s">
        <v>941</v>
      </c>
      <c r="K47" s="130" t="s">
        <v>942</v>
      </c>
      <c r="L47" s="112"/>
      <c r="M47" s="28" t="s">
        <v>943</v>
      </c>
      <c r="N47" s="455" t="s">
        <v>1179</v>
      </c>
    </row>
    <row r="48" spans="2:15" ht="12" customHeight="1" thickBot="1">
      <c r="B48" s="70">
        <v>3013.7150000000001</v>
      </c>
      <c r="C48" s="82" t="s">
        <v>311</v>
      </c>
      <c r="D48" s="467"/>
      <c r="E48" s="74">
        <f>SUM(B48/E43)*(12*60/1000)*22.351-11.288</f>
        <v>57.020269936338025</v>
      </c>
      <c r="F48" s="74">
        <f>SUM(B48/F43)*(12*60/1000)*22.351-11.288</f>
        <v>48.959045533913041</v>
      </c>
      <c r="G48" s="74">
        <f>SUM(B48/G43)*(12*60/1000)*22.351-11.288</f>
        <v>44.780059716531795</v>
      </c>
      <c r="H48" s="74">
        <f>SUM(B48/H43)*(12*60/1000)*22.351-11.288</f>
        <v>46.380099470630199</v>
      </c>
      <c r="I48" s="74">
        <f>SUM(B48/I43)*(12*60/1000)*22.351-11.288</f>
        <v>52.275396664220182</v>
      </c>
      <c r="J48" s="384">
        <f>SUM(B48/J43)*(12*60/1000)*22.351-11.288</f>
        <v>50.258791440101518</v>
      </c>
      <c r="K48" s="384">
        <f>SUM(B48/K43)*(12*60/1000)*22.351-11.288</f>
        <v>43.389420129425034</v>
      </c>
      <c r="L48" s="74"/>
      <c r="M48" s="18">
        <f>SUM(94*60+16)/(3014*7)*1000-240</f>
        <v>28.082282680822857</v>
      </c>
      <c r="N48" s="72">
        <f>SUM(21.0975)/(94*60+16)*3600</f>
        <v>13.428394625176804</v>
      </c>
    </row>
    <row r="49" spans="2:14" ht="5.25" customHeight="1">
      <c r="B49" s="2"/>
      <c r="C49" s="107"/>
      <c r="D49" s="107"/>
      <c r="E49" s="114">
        <f>SUM(E43)/B48*1000-180</f>
        <v>55.589629410876597</v>
      </c>
      <c r="F49" s="114">
        <f>SUM(F43)/B48*1000-240</f>
        <v>27.112185458810757</v>
      </c>
      <c r="G49" s="114">
        <f>SUM(G43)/B48*1000-240</f>
        <v>47.021168225927113</v>
      </c>
      <c r="H49" s="114">
        <f>SUM(H43)/B48*1000-240</f>
        <v>39.057575119080582</v>
      </c>
      <c r="I49" s="114">
        <f>SUM(I43)/B48*1000-240</f>
        <v>13.175897521829341</v>
      </c>
      <c r="J49" s="473">
        <f>SUM(J43)/B48*1000-240</f>
        <v>21.471307008127837</v>
      </c>
      <c r="K49" s="473">
        <f>SUM(K43)/B48*1000-240</f>
        <v>54.321128573869771</v>
      </c>
      <c r="L49" s="114"/>
      <c r="M49" s="264"/>
    </row>
    <row r="50" spans="2:14" ht="6" customHeight="1" thickBot="1">
      <c r="C50" s="108"/>
      <c r="D50" s="108"/>
      <c r="E50" s="71">
        <f>SUM(12*60+48)</f>
        <v>768</v>
      </c>
      <c r="F50" s="72">
        <f>SUM(15*60+29)</f>
        <v>929</v>
      </c>
      <c r="G50" s="72">
        <f>SUM(14*60+8)</f>
        <v>848</v>
      </c>
      <c r="H50" s="72">
        <f>SUM(14*60+24)</f>
        <v>864</v>
      </c>
      <c r="I50" s="72">
        <f>SUM(13*60+45)</f>
        <v>825</v>
      </c>
      <c r="J50" s="483">
        <f>SUM(13*60+43)</f>
        <v>823</v>
      </c>
      <c r="K50" s="483">
        <f>SUM(12*60+34)</f>
        <v>754</v>
      </c>
      <c r="L50" s="72"/>
      <c r="M50" s="114">
        <f>SUM(E50:K50)/(21.0975)-240</f>
        <v>35.435478137220059</v>
      </c>
    </row>
    <row r="51" spans="2:14" ht="13.5" customHeight="1">
      <c r="B51" s="69"/>
      <c r="C51" s="29" t="s">
        <v>282</v>
      </c>
      <c r="D51" s="22"/>
      <c r="E51" s="21" t="s">
        <v>283</v>
      </c>
      <c r="F51" s="21" t="s">
        <v>284</v>
      </c>
      <c r="G51" s="21" t="s">
        <v>285</v>
      </c>
      <c r="H51" s="21" t="s">
        <v>286</v>
      </c>
      <c r="I51" s="23" t="s">
        <v>287</v>
      </c>
      <c r="J51" s="23" t="s">
        <v>288</v>
      </c>
      <c r="K51" s="23" t="s">
        <v>289</v>
      </c>
      <c r="L51" s="25"/>
      <c r="M51" s="26" t="s">
        <v>290</v>
      </c>
      <c r="N51" s="139">
        <f>SUM(13+61+11+59+14+42+40)/7</f>
        <v>34.285714285714285</v>
      </c>
    </row>
    <row r="52" spans="2:14">
      <c r="B52" s="51" t="s">
        <v>293</v>
      </c>
      <c r="C52" s="30" t="s">
        <v>291</v>
      </c>
      <c r="D52" s="23"/>
      <c r="E52" s="17" t="s">
        <v>264</v>
      </c>
      <c r="F52" s="17" t="s">
        <v>265</v>
      </c>
      <c r="G52" s="17" t="s">
        <v>266</v>
      </c>
      <c r="H52" s="109" t="s">
        <v>267</v>
      </c>
      <c r="I52" s="22" t="s">
        <v>281</v>
      </c>
      <c r="J52" s="22" t="s">
        <v>268</v>
      </c>
      <c r="K52" s="113" t="s">
        <v>309</v>
      </c>
      <c r="L52" s="111"/>
      <c r="M52" s="27" t="s">
        <v>279</v>
      </c>
      <c r="N52" s="37"/>
    </row>
    <row r="53" spans="2:14">
      <c r="B53" s="146">
        <v>2014</v>
      </c>
      <c r="C53" s="147" t="s">
        <v>269</v>
      </c>
      <c r="D53" s="466"/>
      <c r="E53" s="148" t="s">
        <v>128</v>
      </c>
      <c r="F53" s="148" t="s">
        <v>129</v>
      </c>
      <c r="G53" s="182" t="s">
        <v>130</v>
      </c>
      <c r="H53" s="148" t="s">
        <v>131</v>
      </c>
      <c r="I53" s="182" t="s">
        <v>132</v>
      </c>
      <c r="J53" s="182" t="s">
        <v>133</v>
      </c>
      <c r="K53" s="182" t="s">
        <v>134</v>
      </c>
      <c r="L53" s="149"/>
      <c r="M53" s="150" t="s">
        <v>135</v>
      </c>
      <c r="N53" s="151">
        <v>13</v>
      </c>
    </row>
    <row r="54" spans="2:14" ht="15.75" thickBot="1">
      <c r="B54" s="51" t="s">
        <v>446</v>
      </c>
      <c r="C54" s="30" t="s">
        <v>270</v>
      </c>
      <c r="D54" s="23"/>
      <c r="E54" s="341" t="s">
        <v>928</v>
      </c>
      <c r="F54" s="341" t="s">
        <v>929</v>
      </c>
      <c r="G54" s="130" t="s">
        <v>930</v>
      </c>
      <c r="H54" s="341" t="s">
        <v>934</v>
      </c>
      <c r="I54" s="342" t="s">
        <v>931</v>
      </c>
      <c r="J54" s="130" t="s">
        <v>932</v>
      </c>
      <c r="K54" s="130" t="s">
        <v>933</v>
      </c>
      <c r="L54" s="112"/>
      <c r="M54" s="28" t="s">
        <v>935</v>
      </c>
      <c r="N54" s="455" t="s">
        <v>1181</v>
      </c>
    </row>
    <row r="55" spans="2:14" ht="11.25" customHeight="1" thickBot="1">
      <c r="B55" s="70">
        <v>3013.7150000000001</v>
      </c>
      <c r="C55" s="82" t="s">
        <v>311</v>
      </c>
      <c r="D55" s="467"/>
      <c r="E55" s="74">
        <f>SUM(B55/E50)*(12*60/1000)*22.351-11.288</f>
        <v>51.8615724671875</v>
      </c>
      <c r="F55" s="74">
        <f>SUM(B55/F50)*(12*60/1000)*22.351-11.288</f>
        <v>40.917459262432729</v>
      </c>
      <c r="G55" s="74">
        <f>SUM(B55/G50)*(12*60/1000)*22.351-11.288</f>
        <v>45.904065630660369</v>
      </c>
      <c r="H55" s="74">
        <f>SUM(B55/H50)*(12*60/1000)*22.351-11.288</f>
        <v>44.844953304166665</v>
      </c>
      <c r="I55" s="74">
        <f>SUM(B55/I50)*(12*60/1000)*22.351-11.288</f>
        <v>47.49851109672727</v>
      </c>
      <c r="J55" s="384">
        <f>SUM(B55/J50)*(12*60/1000)*22.351-11.288</f>
        <v>47.641370175941674</v>
      </c>
      <c r="K55" s="384">
        <f>SUM(B55/K50)*(12*60/1000)*22.351-11.288</f>
        <v>53.034110948010621</v>
      </c>
      <c r="L55" s="74"/>
      <c r="M55" s="18">
        <f>SUM(96*60+49)/(3014*7)*1000-240</f>
        <v>35.33415489619864</v>
      </c>
      <c r="N55" s="72">
        <f>SUM(21.0975)/(96*60+49)*3600</f>
        <v>13.074711654329489</v>
      </c>
    </row>
    <row r="56" spans="2:14" ht="4.5" customHeight="1">
      <c r="E56" s="114">
        <f>SUM(E50)/B55*1000-240</f>
        <v>14.834979419089052</v>
      </c>
      <c r="F56" s="114">
        <f>SUM(F50)/B55*1000-300</f>
        <v>8.2574165108512148</v>
      </c>
      <c r="G56" s="114">
        <f>SUM(G50)/B55*1000-240</f>
        <v>41.380289775244137</v>
      </c>
      <c r="H56" s="114">
        <f>SUM(H50)/B55*1000-240</f>
        <v>46.689351846475176</v>
      </c>
      <c r="I56" s="114">
        <f>SUM(I50)/B55*1000-240</f>
        <v>33.748513047849599</v>
      </c>
      <c r="J56" s="114">
        <f>SUM(J50)/B55*1000-240</f>
        <v>33.084880288945669</v>
      </c>
      <c r="K56" s="114">
        <f>SUM(K50)/B55*1000-240</f>
        <v>10.189550106761914</v>
      </c>
      <c r="L56" s="114"/>
      <c r="M56" s="250"/>
    </row>
    <row r="57" spans="2:14" ht="6.75" customHeight="1">
      <c r="C57" s="145"/>
      <c r="D57" s="145"/>
      <c r="E57" s="71">
        <f>SUM(10*60+18)</f>
        <v>618</v>
      </c>
      <c r="F57" s="72">
        <f>SUM(12*60+50)</f>
        <v>770</v>
      </c>
      <c r="G57" s="72">
        <f>SUM(12*60+2)</f>
        <v>722</v>
      </c>
      <c r="H57" s="72">
        <f>SUM(10*60+31)</f>
        <v>631</v>
      </c>
      <c r="I57" s="72">
        <f>SUM(12*60+5)</f>
        <v>725</v>
      </c>
      <c r="J57" s="72">
        <f>SUM(9*60+52)</f>
        <v>592</v>
      </c>
      <c r="K57" s="72">
        <f>SUM(12*60+10)</f>
        <v>730</v>
      </c>
      <c r="L57" s="534"/>
      <c r="M57" s="250"/>
      <c r="N57" s="108"/>
    </row>
    <row r="58" spans="2:14" ht="13.5" customHeight="1">
      <c r="B58" s="703" t="s">
        <v>1359</v>
      </c>
      <c r="C58" s="536" t="s">
        <v>282</v>
      </c>
      <c r="D58" s="33"/>
      <c r="E58" s="541" t="s">
        <v>1278</v>
      </c>
      <c r="F58" s="541" t="s">
        <v>1276</v>
      </c>
      <c r="G58" s="53" t="s">
        <v>300</v>
      </c>
      <c r="H58" s="544" t="s">
        <v>1273</v>
      </c>
      <c r="I58" s="544" t="s">
        <v>1271</v>
      </c>
      <c r="J58" s="55" t="s">
        <v>301</v>
      </c>
      <c r="K58" s="357" t="s">
        <v>1022</v>
      </c>
      <c r="L58" s="16"/>
      <c r="M58" s="48" t="s">
        <v>1279</v>
      </c>
      <c r="N58" s="531">
        <f>SUM(30+25+46+28+22+27+18)/7</f>
        <v>28</v>
      </c>
    </row>
    <row r="59" spans="2:14">
      <c r="B59" s="52" t="s">
        <v>292</v>
      </c>
      <c r="C59" s="537" t="s">
        <v>291</v>
      </c>
      <c r="D59" s="470"/>
      <c r="E59" s="542" t="s">
        <v>1277</v>
      </c>
      <c r="F59" s="542" t="s">
        <v>1275</v>
      </c>
      <c r="G59" s="530" t="s">
        <v>1274</v>
      </c>
      <c r="H59" s="545" t="s">
        <v>1272</v>
      </c>
      <c r="I59" s="545" t="s">
        <v>1270</v>
      </c>
      <c r="J59" s="529" t="s">
        <v>1267</v>
      </c>
      <c r="K59" s="545" t="s">
        <v>1268</v>
      </c>
      <c r="L59" s="274" t="s">
        <v>1269</v>
      </c>
      <c r="M59" s="532" t="s">
        <v>279</v>
      </c>
      <c r="N59" s="37"/>
    </row>
    <row r="60" spans="2:14">
      <c r="B60" s="63">
        <v>2001</v>
      </c>
      <c r="C60" s="538" t="s">
        <v>269</v>
      </c>
      <c r="D60" s="471"/>
      <c r="E60" s="60" t="s">
        <v>306</v>
      </c>
      <c r="F60" s="60" t="s">
        <v>307</v>
      </c>
      <c r="G60" s="60" t="s">
        <v>295</v>
      </c>
      <c r="H60" s="60" t="s">
        <v>92</v>
      </c>
      <c r="I60" s="60" t="s">
        <v>49</v>
      </c>
      <c r="J60" s="61" t="s">
        <v>297</v>
      </c>
      <c r="K60" s="60" t="s">
        <v>138</v>
      </c>
      <c r="L60" s="60"/>
      <c r="M60" s="62" t="s">
        <v>299</v>
      </c>
      <c r="N60" s="39">
        <v>5</v>
      </c>
    </row>
    <row r="61" spans="2:14">
      <c r="B61" s="321" t="s">
        <v>294</v>
      </c>
      <c r="C61" s="539" t="s">
        <v>270</v>
      </c>
      <c r="D61" s="54"/>
      <c r="E61" s="543" t="s">
        <v>1281</v>
      </c>
      <c r="F61" s="543" t="s">
        <v>945</v>
      </c>
      <c r="G61" s="128" t="s">
        <v>1282</v>
      </c>
      <c r="H61" s="546" t="s">
        <v>1283</v>
      </c>
      <c r="I61" s="546" t="s">
        <v>1284</v>
      </c>
      <c r="J61" s="129" t="s">
        <v>1285</v>
      </c>
      <c r="K61" s="546" t="s">
        <v>1286</v>
      </c>
      <c r="L61" s="135"/>
      <c r="M61" s="533" t="s">
        <v>1280</v>
      </c>
      <c r="N61" s="455" t="s">
        <v>1178</v>
      </c>
    </row>
    <row r="62" spans="2:14" ht="12" customHeight="1">
      <c r="B62" s="51" t="s">
        <v>446</v>
      </c>
      <c r="C62" s="583" t="s">
        <v>311</v>
      </c>
      <c r="D62" s="472"/>
      <c r="E62" s="159">
        <f>SUM(B63/E57)*(12*60/1000)*22.351-11.288</f>
        <v>67.189138599999993</v>
      </c>
      <c r="F62" s="159">
        <f>SUM(B63/F57)*(12*60/1000)*22.351-11.288</f>
        <v>51.697547603636366</v>
      </c>
      <c r="G62" s="384">
        <f>SUM(B63/G57)*(12*60/1000)*22.351-11.288</f>
        <v>55.884952430470918</v>
      </c>
      <c r="H62" s="159">
        <f>SUM(B63/H57)*(12*60/1000)*22.351-11.288</f>
        <v>65.572335427575283</v>
      </c>
      <c r="I62" s="159">
        <f>SUM(B63/I57)*(12*60/1000)*22.351-11.288</f>
        <v>55.606995385931029</v>
      </c>
      <c r="J62" s="384">
        <f>SUM(B63/J57)*(12*60/1000)*22.351-11.288</f>
        <v>70.635769687162167</v>
      </c>
      <c r="K62" s="159">
        <f>SUM(B63/K57)*(12*60/1000)*22.351-11.288</f>
        <v>55.148810486027386</v>
      </c>
      <c r="L62" s="159"/>
      <c r="M62" s="114">
        <f>SUM(79*60+18)/(21097.5)*1000-180</f>
        <v>45.52435122644863</v>
      </c>
      <c r="N62" s="72">
        <f>SUM(21.0975)/(79*60+18)*3600</f>
        <v>15.962799495586381</v>
      </c>
    </row>
    <row r="63" spans="2:14">
      <c r="B63" s="535">
        <v>3013.7150000000001</v>
      </c>
      <c r="C63" s="144"/>
      <c r="D63" s="144"/>
      <c r="E63" s="473">
        <f>SUM(E57)/B63*1000-180</f>
        <v>25.062522501298218</v>
      </c>
      <c r="F63" s="473">
        <f>SUM(F57)/B63*1000-240</f>
        <v>15.498612177992925</v>
      </c>
      <c r="G63" s="473">
        <f>SUM(G57)/B63*1000-180</f>
        <v>59.571425964299863</v>
      </c>
      <c r="H63" s="473">
        <f>SUM(H57)/B63*1000-180</f>
        <v>29.376135434173449</v>
      </c>
      <c r="I63" s="473">
        <f>SUM(I57)/B63*1000-240</f>
        <v>0.56687510265567198</v>
      </c>
      <c r="J63" s="473">
        <f>SUM(J57)/B63*1000-180</f>
        <v>16.435296635547815</v>
      </c>
      <c r="K63" s="473">
        <f>SUM(K57)/B63*1000-240</f>
        <v>2.2259569999153541</v>
      </c>
      <c r="L63" s="181"/>
      <c r="M63" s="250"/>
    </row>
  </sheetData>
  <pageMargins left="0" right="0" top="0" bottom="0" header="0.31496062992125984" footer="0.31496062992125984"/>
  <pageSetup paperSize="9" scale="90" orientation="landscape" horizontalDpi="4294967293" verticalDpi="0" r:id="rId1"/>
  <ignoredErrors>
    <ignoredError sqref="B14:B28 B7" numberStoredAsText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B1:T65"/>
  <sheetViews>
    <sheetView showGridLines="0" workbookViewId="0"/>
  </sheetViews>
  <sheetFormatPr defaultRowHeight="15"/>
  <cols>
    <col min="1" max="1" width="1" customWidth="1"/>
    <col min="2" max="2" width="3.7109375" customWidth="1"/>
    <col min="5" max="5" width="9.5703125" bestFit="1" customWidth="1"/>
    <col min="7" max="7" width="2" customWidth="1"/>
    <col min="9" max="9" width="7.140625" customWidth="1"/>
    <col min="10" max="10" width="5.28515625" customWidth="1"/>
    <col min="11" max="11" width="1.42578125" customWidth="1"/>
    <col min="12" max="12" width="5.7109375" customWidth="1"/>
    <col min="13" max="13" width="7.140625" customWidth="1"/>
    <col min="14" max="14" width="4.42578125" customWidth="1"/>
    <col min="15" max="15" width="3.28515625" customWidth="1"/>
    <col min="16" max="16" width="1.85546875" customWidth="1"/>
    <col min="17" max="17" width="5.5703125" customWidth="1"/>
    <col min="18" max="18" width="1.7109375" customWidth="1"/>
    <col min="19" max="19" width="5.42578125" customWidth="1"/>
    <col min="20" max="20" width="7.7109375" customWidth="1"/>
    <col min="21" max="21" width="1.42578125" customWidth="1"/>
    <col min="22" max="22" width="9.140625" customWidth="1"/>
  </cols>
  <sheetData>
    <row r="1" spans="2:16" ht="4.5" customHeight="1" thickBot="1">
      <c r="C1" s="727"/>
      <c r="D1" s="172"/>
      <c r="E1" s="728"/>
      <c r="F1" s="173"/>
      <c r="G1" s="16"/>
      <c r="H1" s="173"/>
      <c r="I1" s="16"/>
      <c r="J1" s="16"/>
      <c r="K1" s="16"/>
      <c r="L1" s="16"/>
      <c r="M1" s="16"/>
    </row>
    <row r="2" spans="2:16" ht="13.5" customHeight="1">
      <c r="B2" s="161"/>
      <c r="C2" s="757" t="s">
        <v>1016</v>
      </c>
      <c r="D2" s="162"/>
      <c r="E2" s="347" t="s">
        <v>1121</v>
      </c>
      <c r="F2" s="758" t="s">
        <v>1032</v>
      </c>
      <c r="G2" s="163"/>
      <c r="H2" s="163"/>
      <c r="I2" s="163"/>
      <c r="J2" s="164"/>
      <c r="K2" s="183"/>
      <c r="L2" s="183"/>
      <c r="M2" s="16"/>
    </row>
    <row r="3" spans="2:16" ht="15.75" thickBot="1">
      <c r="B3" s="165"/>
      <c r="C3" s="303" t="s">
        <v>293</v>
      </c>
      <c r="D3" s="303"/>
      <c r="E3" s="303" t="s">
        <v>470</v>
      </c>
      <c r="F3" s="303" t="s">
        <v>471</v>
      </c>
      <c r="G3" s="303"/>
      <c r="H3" s="303" t="s">
        <v>270</v>
      </c>
      <c r="I3" s="303" t="s">
        <v>282</v>
      </c>
      <c r="J3" s="166"/>
      <c r="K3" s="183"/>
      <c r="L3" s="201">
        <v>2014</v>
      </c>
      <c r="M3" s="155" t="s">
        <v>135</v>
      </c>
      <c r="N3" s="202">
        <v>13</v>
      </c>
      <c r="O3" s="202"/>
      <c r="P3" s="202"/>
    </row>
    <row r="4" spans="2:16" ht="15" customHeight="1" thickBot="1">
      <c r="B4" s="165"/>
      <c r="C4" s="301" t="s">
        <v>324</v>
      </c>
      <c r="D4" s="759"/>
      <c r="E4" s="669">
        <v>2021</v>
      </c>
      <c r="F4" s="338" t="s">
        <v>38</v>
      </c>
      <c r="G4" s="338"/>
      <c r="H4" s="725" t="s">
        <v>1366</v>
      </c>
      <c r="I4" s="669" t="s">
        <v>1120</v>
      </c>
      <c r="J4" s="167"/>
      <c r="K4" s="144"/>
      <c r="L4" s="201">
        <v>2015</v>
      </c>
      <c r="M4" s="155" t="s">
        <v>340</v>
      </c>
      <c r="N4" s="202">
        <v>18</v>
      </c>
      <c r="O4" s="202"/>
      <c r="P4" s="202"/>
    </row>
    <row r="5" spans="2:16">
      <c r="B5" s="165"/>
      <c r="C5" s="336"/>
      <c r="D5" s="336"/>
      <c r="E5" s="169">
        <v>2019</v>
      </c>
      <c r="F5" s="198" t="s">
        <v>1189</v>
      </c>
      <c r="G5" s="198"/>
      <c r="H5" s="160" t="s">
        <v>1196</v>
      </c>
      <c r="I5" s="169" t="s">
        <v>467</v>
      </c>
      <c r="J5" s="167"/>
      <c r="K5" s="144"/>
      <c r="L5" s="296">
        <v>2016</v>
      </c>
      <c r="M5" s="155" t="s">
        <v>576</v>
      </c>
      <c r="N5" s="295">
        <v>10</v>
      </c>
      <c r="O5" s="295"/>
      <c r="P5" s="295"/>
    </row>
    <row r="6" spans="2:16">
      <c r="B6" s="165"/>
      <c r="C6" s="336"/>
      <c r="D6" s="336"/>
      <c r="E6" s="169">
        <v>2017</v>
      </c>
      <c r="F6" s="198" t="s">
        <v>167</v>
      </c>
      <c r="G6" s="198"/>
      <c r="H6" s="459" t="s">
        <v>1039</v>
      </c>
      <c r="I6" s="169" t="s">
        <v>466</v>
      </c>
      <c r="J6" s="167"/>
      <c r="K6" s="144"/>
      <c r="L6" s="295">
        <v>2017</v>
      </c>
      <c r="M6" s="155" t="s">
        <v>1035</v>
      </c>
      <c r="N6" s="295">
        <v>19</v>
      </c>
      <c r="O6" s="295"/>
      <c r="P6" s="295"/>
    </row>
    <row r="7" spans="2:16">
      <c r="B7" s="165"/>
      <c r="C7" s="336"/>
      <c r="D7" s="336"/>
      <c r="E7" s="169">
        <v>2018</v>
      </c>
      <c r="F7" s="198" t="s">
        <v>491</v>
      </c>
      <c r="G7" s="198"/>
      <c r="H7" s="160" t="s">
        <v>1128</v>
      </c>
      <c r="I7" s="169" t="s">
        <v>344</v>
      </c>
      <c r="J7" s="167"/>
      <c r="K7" s="144"/>
      <c r="L7" s="295">
        <v>2018</v>
      </c>
      <c r="M7" s="155" t="s">
        <v>597</v>
      </c>
      <c r="N7" s="295">
        <v>14</v>
      </c>
      <c r="O7" s="295"/>
      <c r="P7" s="295"/>
    </row>
    <row r="8" spans="2:16">
      <c r="B8" s="165"/>
      <c r="C8" s="336"/>
      <c r="D8" s="336"/>
      <c r="E8" s="169">
        <v>2016</v>
      </c>
      <c r="F8" s="198" t="s">
        <v>574</v>
      </c>
      <c r="G8" s="198"/>
      <c r="H8" s="160" t="s">
        <v>948</v>
      </c>
      <c r="I8" s="169" t="s">
        <v>287</v>
      </c>
      <c r="J8" s="167"/>
      <c r="K8" s="144"/>
      <c r="L8" s="295">
        <v>2019</v>
      </c>
      <c r="M8" s="155" t="s">
        <v>1191</v>
      </c>
      <c r="N8" s="295">
        <v>17</v>
      </c>
      <c r="O8" s="295"/>
      <c r="P8" s="295"/>
    </row>
    <row r="9" spans="2:16" ht="15.75" thickBot="1">
      <c r="B9" s="165"/>
      <c r="C9" s="336"/>
      <c r="D9" s="336"/>
      <c r="E9" s="169">
        <v>2015</v>
      </c>
      <c r="F9" s="198" t="s">
        <v>226</v>
      </c>
      <c r="G9" s="198"/>
      <c r="H9" s="160" t="s">
        <v>939</v>
      </c>
      <c r="I9" s="169" t="s">
        <v>283</v>
      </c>
      <c r="J9" s="167"/>
      <c r="K9" s="144"/>
      <c r="L9" s="295">
        <v>2020</v>
      </c>
      <c r="M9" s="591" t="s">
        <v>1312</v>
      </c>
      <c r="N9" s="295"/>
      <c r="O9" s="295"/>
      <c r="P9" s="295"/>
    </row>
    <row r="10" spans="2:16" ht="15" customHeight="1" thickBot="1">
      <c r="B10" s="165"/>
      <c r="C10" s="301" t="s">
        <v>309</v>
      </c>
      <c r="D10" s="301"/>
      <c r="E10" s="343">
        <v>2015</v>
      </c>
      <c r="F10" s="338" t="s">
        <v>347</v>
      </c>
      <c r="G10" s="338"/>
      <c r="H10" s="741" t="s">
        <v>936</v>
      </c>
      <c r="I10" s="343" t="s">
        <v>342</v>
      </c>
      <c r="J10" s="197"/>
      <c r="K10" s="168"/>
      <c r="L10" s="712">
        <v>2021</v>
      </c>
      <c r="M10" s="713" t="s">
        <v>1351</v>
      </c>
      <c r="N10" s="714">
        <v>8</v>
      </c>
      <c r="O10" s="715"/>
      <c r="P10" s="701"/>
    </row>
    <row r="11" spans="2:16" ht="12.75" customHeight="1">
      <c r="B11" s="165"/>
      <c r="C11" s="113"/>
      <c r="D11" s="113"/>
      <c r="E11" s="156">
        <v>2014</v>
      </c>
      <c r="F11" s="198" t="s">
        <v>134</v>
      </c>
      <c r="G11" s="198"/>
      <c r="H11" s="158" t="s">
        <v>933</v>
      </c>
      <c r="I11" s="156" t="s">
        <v>289</v>
      </c>
      <c r="J11" s="197"/>
      <c r="K11" s="168"/>
      <c r="L11" s="295"/>
      <c r="M11" s="573"/>
      <c r="N11" s="574"/>
      <c r="O11" s="574"/>
      <c r="P11" s="574"/>
    </row>
    <row r="12" spans="2:16">
      <c r="B12" s="165"/>
      <c r="C12" s="113"/>
      <c r="D12" s="113"/>
      <c r="E12" s="169">
        <v>2016</v>
      </c>
      <c r="F12" s="198" t="s">
        <v>560</v>
      </c>
      <c r="G12" s="198"/>
      <c r="H12" s="160" t="s">
        <v>944</v>
      </c>
      <c r="I12" s="169" t="s">
        <v>288</v>
      </c>
      <c r="J12" s="197"/>
      <c r="K12" s="168"/>
      <c r="L12" s="16"/>
      <c r="M12" s="16"/>
      <c r="N12" s="16"/>
      <c r="O12" s="16"/>
      <c r="P12" s="16"/>
    </row>
    <row r="13" spans="2:16" ht="2.25" customHeight="1" thickBot="1">
      <c r="B13" s="165"/>
      <c r="C13" s="113"/>
      <c r="D13" s="113"/>
      <c r="E13" s="742"/>
      <c r="F13" s="743"/>
      <c r="G13" s="743"/>
      <c r="H13" s="744"/>
      <c r="I13" s="746"/>
      <c r="J13" s="197"/>
      <c r="K13" s="168"/>
      <c r="L13" s="16"/>
      <c r="M13" s="16"/>
      <c r="N13" s="16"/>
      <c r="O13" s="16"/>
      <c r="P13" s="16"/>
    </row>
    <row r="14" spans="2:16" ht="15.75" thickBot="1">
      <c r="B14" s="165"/>
      <c r="C14" s="761" t="s">
        <v>803</v>
      </c>
      <c r="D14" s="168"/>
      <c r="E14" s="445">
        <v>2015</v>
      </c>
      <c r="F14" s="358" t="s">
        <v>448</v>
      </c>
      <c r="G14" s="358"/>
      <c r="H14" s="741" t="s">
        <v>1044</v>
      </c>
      <c r="I14" s="446" t="s">
        <v>342</v>
      </c>
      <c r="J14" s="167"/>
      <c r="K14" s="144"/>
      <c r="L14" s="16"/>
      <c r="M14" s="16"/>
      <c r="N14" s="16"/>
      <c r="O14" s="16"/>
      <c r="P14" s="16"/>
    </row>
    <row r="15" spans="2:16">
      <c r="B15" s="165"/>
      <c r="C15" s="761" t="s">
        <v>803</v>
      </c>
      <c r="D15" s="168"/>
      <c r="E15" s="445">
        <v>2017</v>
      </c>
      <c r="F15" s="358" t="s">
        <v>1042</v>
      </c>
      <c r="G15" s="358"/>
      <c r="H15" s="359" t="s">
        <v>1043</v>
      </c>
      <c r="I15" s="446" t="s">
        <v>345</v>
      </c>
      <c r="J15" s="167"/>
      <c r="K15" s="144"/>
      <c r="L15" s="16"/>
      <c r="M15" s="16"/>
      <c r="N15" s="16"/>
      <c r="O15" s="16"/>
      <c r="P15" s="16"/>
    </row>
    <row r="16" spans="2:16">
      <c r="B16" s="165"/>
      <c r="C16" s="761" t="s">
        <v>803</v>
      </c>
      <c r="D16" s="168"/>
      <c r="E16" s="445">
        <v>2019</v>
      </c>
      <c r="F16" s="358" t="s">
        <v>1300</v>
      </c>
      <c r="G16" s="358"/>
      <c r="H16" s="359" t="s">
        <v>1301</v>
      </c>
      <c r="I16" s="446" t="s">
        <v>1023</v>
      </c>
      <c r="J16" s="167"/>
      <c r="K16" s="144"/>
      <c r="L16" s="16"/>
      <c r="M16" s="16"/>
      <c r="N16" s="16"/>
      <c r="O16" s="16"/>
      <c r="P16" s="16"/>
    </row>
    <row r="17" spans="2:20">
      <c r="B17" s="165"/>
      <c r="C17" s="761" t="s">
        <v>803</v>
      </c>
      <c r="D17" s="168"/>
      <c r="E17" s="747">
        <v>2021</v>
      </c>
      <c r="F17" s="358" t="s">
        <v>122</v>
      </c>
      <c r="G17" s="358"/>
      <c r="H17" s="359" t="s">
        <v>1374</v>
      </c>
      <c r="I17" s="748" t="s">
        <v>1172</v>
      </c>
      <c r="J17" s="167"/>
      <c r="K17" s="584"/>
      <c r="L17" s="16"/>
      <c r="M17" s="16"/>
      <c r="N17" s="16"/>
      <c r="O17" s="16"/>
      <c r="P17" s="16"/>
    </row>
    <row r="18" spans="2:20" ht="13.5" customHeight="1">
      <c r="B18" s="165"/>
      <c r="C18" s="761" t="s">
        <v>803</v>
      </c>
      <c r="D18" s="144"/>
      <c r="E18" s="749">
        <v>2016</v>
      </c>
      <c r="F18" s="750" t="s">
        <v>476</v>
      </c>
      <c r="G18" s="751"/>
      <c r="H18" s="752" t="s">
        <v>475</v>
      </c>
      <c r="I18" s="753" t="s">
        <v>288</v>
      </c>
      <c r="J18" s="167"/>
      <c r="K18" s="144"/>
      <c r="L18" s="16"/>
      <c r="M18" s="16"/>
      <c r="N18" s="16"/>
      <c r="O18" s="16"/>
      <c r="P18" s="16"/>
    </row>
    <row r="19" spans="2:20" ht="4.5" customHeight="1" thickBot="1">
      <c r="B19" s="165"/>
      <c r="C19" s="336"/>
      <c r="D19" s="336"/>
      <c r="E19" s="169"/>
      <c r="F19" s="198"/>
      <c r="G19" s="198"/>
      <c r="H19" s="459"/>
      <c r="I19" s="169"/>
      <c r="J19" s="167"/>
      <c r="K19" s="144"/>
      <c r="L19" s="16"/>
      <c r="M19" s="16"/>
      <c r="N19" s="16"/>
      <c r="O19" s="16"/>
      <c r="P19" s="16"/>
    </row>
    <row r="20" spans="2:20" ht="15" customHeight="1" thickBot="1">
      <c r="B20" s="165"/>
      <c r="C20" s="301" t="s">
        <v>1310</v>
      </c>
      <c r="D20" s="301"/>
      <c r="E20" s="669">
        <v>2021</v>
      </c>
      <c r="F20" s="338" t="s">
        <v>49</v>
      </c>
      <c r="G20" s="338"/>
      <c r="H20" s="726" t="s">
        <v>1365</v>
      </c>
      <c r="I20" s="669" t="s">
        <v>287</v>
      </c>
      <c r="J20" s="167"/>
      <c r="K20" s="144"/>
      <c r="L20" s="144"/>
      <c r="M20" s="16"/>
      <c r="N20" s="16"/>
      <c r="O20" s="16"/>
      <c r="P20" s="16"/>
    </row>
    <row r="21" spans="2:20" ht="13.5" customHeight="1" thickBot="1">
      <c r="B21" s="165"/>
      <c r="C21" s="144"/>
      <c r="D21" s="144"/>
      <c r="E21" s="144"/>
      <c r="F21" s="183"/>
      <c r="G21" s="183"/>
      <c r="H21" s="183"/>
      <c r="I21" s="760"/>
      <c r="J21" s="167"/>
      <c r="K21" s="144"/>
      <c r="L21" s="144"/>
      <c r="M21" s="16"/>
      <c r="N21" s="16"/>
      <c r="O21" s="16"/>
      <c r="P21" s="16"/>
    </row>
    <row r="22" spans="2:20" ht="14.25" customHeight="1" thickBot="1">
      <c r="B22" s="165"/>
      <c r="C22" s="301" t="s">
        <v>1341</v>
      </c>
      <c r="D22" s="301"/>
      <c r="E22" s="669">
        <v>2021</v>
      </c>
      <c r="F22" s="338" t="s">
        <v>348</v>
      </c>
      <c r="G22" s="338"/>
      <c r="H22" s="726" t="s">
        <v>1363</v>
      </c>
      <c r="I22" s="669" t="s">
        <v>468</v>
      </c>
      <c r="J22" s="167"/>
      <c r="K22" s="144"/>
      <c r="L22" s="144"/>
      <c r="M22" s="16"/>
      <c r="N22" s="16"/>
      <c r="O22" s="16"/>
      <c r="P22" s="16"/>
    </row>
    <row r="23" spans="2:20" ht="18" customHeight="1" thickBot="1">
      <c r="B23" s="165"/>
      <c r="C23" s="113"/>
      <c r="D23" s="113"/>
      <c r="E23" s="144"/>
      <c r="F23" s="183"/>
      <c r="G23" s="183"/>
      <c r="H23" s="183"/>
      <c r="I23" s="183"/>
      <c r="J23" s="167"/>
      <c r="K23" s="144"/>
      <c r="L23" s="730" t="s">
        <v>1313</v>
      </c>
    </row>
    <row r="24" spans="2:20" ht="15" customHeight="1" thickBot="1">
      <c r="B24" s="165"/>
      <c r="C24" s="301" t="s">
        <v>341</v>
      </c>
      <c r="D24" s="301"/>
      <c r="E24" s="343">
        <v>2015</v>
      </c>
      <c r="F24" s="338" t="s">
        <v>348</v>
      </c>
      <c r="G24" s="338"/>
      <c r="H24" s="726" t="s">
        <v>940</v>
      </c>
      <c r="I24" s="343" t="s">
        <v>344</v>
      </c>
      <c r="J24" s="197"/>
      <c r="K24" s="168"/>
      <c r="L24" s="144"/>
      <c r="M24" s="16"/>
      <c r="N24" s="16"/>
      <c r="O24" s="16"/>
      <c r="P24" s="677" t="s">
        <v>1322</v>
      </c>
      <c r="Q24" s="83"/>
      <c r="R24" s="83"/>
      <c r="S24" s="83"/>
    </row>
    <row r="25" spans="2:20" ht="17.25" customHeight="1">
      <c r="B25" s="165"/>
      <c r="C25" s="336"/>
      <c r="D25" s="336"/>
      <c r="E25" s="169">
        <v>2016</v>
      </c>
      <c r="F25" s="198" t="s">
        <v>307</v>
      </c>
      <c r="G25" s="198"/>
      <c r="H25" s="160" t="s">
        <v>945</v>
      </c>
      <c r="I25" s="169" t="s">
        <v>467</v>
      </c>
      <c r="J25" s="197"/>
      <c r="K25" s="197"/>
      <c r="L25" s="593" t="s">
        <v>347</v>
      </c>
      <c r="M25" s="72">
        <f>SUM(11*60+50)</f>
        <v>710</v>
      </c>
      <c r="N25" s="780">
        <f>SUM(M25)</f>
        <v>710</v>
      </c>
      <c r="O25" s="653"/>
      <c r="P25" s="653"/>
      <c r="Q25" s="654" t="s">
        <v>1321</v>
      </c>
      <c r="R25" s="655" t="s">
        <v>1314</v>
      </c>
      <c r="S25" s="656">
        <v>50</v>
      </c>
      <c r="T25" s="657"/>
    </row>
    <row r="26" spans="2:20" ht="13.5" customHeight="1">
      <c r="B26" s="165"/>
      <c r="C26" s="336"/>
      <c r="D26" s="336"/>
      <c r="E26" s="169">
        <v>2019</v>
      </c>
      <c r="F26" s="198" t="s">
        <v>657</v>
      </c>
      <c r="G26" s="198"/>
      <c r="H26" s="160" t="s">
        <v>1192</v>
      </c>
      <c r="I26" s="169" t="s">
        <v>1173</v>
      </c>
      <c r="J26" s="197"/>
      <c r="K26" s="197"/>
      <c r="L26" s="594" t="s">
        <v>168</v>
      </c>
      <c r="M26" s="72">
        <f>SUM(13*60+25)</f>
        <v>805</v>
      </c>
      <c r="N26" s="781">
        <f>SUM(M25:M26)</f>
        <v>1515</v>
      </c>
      <c r="O26" s="658"/>
      <c r="P26" s="658"/>
      <c r="Q26" s="659">
        <v>25</v>
      </c>
      <c r="R26" s="660" t="s">
        <v>1314</v>
      </c>
      <c r="S26" s="661">
        <f>SUM(N26)-(60*25)</f>
        <v>15</v>
      </c>
      <c r="T26" s="662"/>
    </row>
    <row r="27" spans="2:20" ht="16.5" customHeight="1">
      <c r="B27" s="165"/>
      <c r="C27" s="113"/>
      <c r="D27" s="113"/>
      <c r="E27" s="169">
        <v>2018</v>
      </c>
      <c r="F27" s="198" t="s">
        <v>660</v>
      </c>
      <c r="G27" s="198"/>
      <c r="H27" s="160" t="s">
        <v>1130</v>
      </c>
      <c r="I27" s="169" t="s">
        <v>1120</v>
      </c>
      <c r="J27" s="197"/>
      <c r="K27" s="197"/>
      <c r="L27" s="594" t="s">
        <v>131</v>
      </c>
      <c r="M27" s="72">
        <f>SUM(14*60+25)</f>
        <v>865</v>
      </c>
      <c r="N27" s="781">
        <f>SUM(M27)+N26-1</f>
        <v>2379</v>
      </c>
      <c r="O27" s="658"/>
      <c r="P27" s="658"/>
      <c r="Q27" s="659" t="s">
        <v>1315</v>
      </c>
      <c r="R27" s="660" t="s">
        <v>1314</v>
      </c>
      <c r="S27" s="661">
        <f>SUM(N27)-(60*39)</f>
        <v>39</v>
      </c>
      <c r="T27" s="662"/>
    </row>
    <row r="28" spans="2:20" ht="16.5" customHeight="1">
      <c r="B28" s="165"/>
      <c r="C28" s="113"/>
      <c r="D28" s="113"/>
      <c r="E28" s="169">
        <v>2017</v>
      </c>
      <c r="F28" s="198" t="s">
        <v>691</v>
      </c>
      <c r="G28" s="198"/>
      <c r="H28" s="160" t="s">
        <v>1040</v>
      </c>
      <c r="I28" s="169" t="s">
        <v>467</v>
      </c>
      <c r="J28" s="197"/>
      <c r="K28" s="197"/>
      <c r="L28" s="594" t="s">
        <v>112</v>
      </c>
      <c r="M28" s="72">
        <f>SUM(14*60+1)</f>
        <v>841</v>
      </c>
      <c r="N28" s="781">
        <f>SUM(M28)+N27-1</f>
        <v>3219</v>
      </c>
      <c r="O28" s="658"/>
      <c r="P28" s="658"/>
      <c r="Q28" s="659" t="s">
        <v>1316</v>
      </c>
      <c r="R28" s="660" t="s">
        <v>1314</v>
      </c>
      <c r="S28" s="661">
        <f>SUM(N28)-(60*53)</f>
        <v>39</v>
      </c>
      <c r="T28" s="662"/>
    </row>
    <row r="29" spans="2:20" ht="15" customHeight="1">
      <c r="B29" s="165"/>
      <c r="C29" s="113"/>
      <c r="D29" s="113"/>
      <c r="E29" s="169">
        <v>2019</v>
      </c>
      <c r="F29" s="198" t="s">
        <v>1190</v>
      </c>
      <c r="G29" s="198"/>
      <c r="H29" s="160" t="s">
        <v>1197</v>
      </c>
      <c r="I29" s="169" t="s">
        <v>1173</v>
      </c>
      <c r="J29" s="197"/>
      <c r="K29" s="197"/>
      <c r="L29" s="594" t="s">
        <v>74</v>
      </c>
      <c r="M29" s="72">
        <f>SUM(12*60+43)</f>
        <v>763</v>
      </c>
      <c r="N29" s="781">
        <f>SUM(M29)+N28-1</f>
        <v>3981</v>
      </c>
      <c r="O29" s="659" t="s">
        <v>1317</v>
      </c>
      <c r="P29" s="660" t="s">
        <v>1314</v>
      </c>
      <c r="Q29" s="659" t="s">
        <v>1318</v>
      </c>
      <c r="R29" s="660" t="s">
        <v>1314</v>
      </c>
      <c r="S29" s="661">
        <f>SUM(N29)-(60*66)</f>
        <v>21</v>
      </c>
      <c r="T29" s="662"/>
    </row>
    <row r="30" spans="2:20" ht="17.25" customHeight="1" thickBot="1">
      <c r="B30" s="165"/>
      <c r="C30" s="113"/>
      <c r="D30" s="113"/>
      <c r="E30" s="169">
        <v>2018</v>
      </c>
      <c r="F30" s="198" t="s">
        <v>1124</v>
      </c>
      <c r="G30" s="198"/>
      <c r="H30" s="160" t="s">
        <v>1132</v>
      </c>
      <c r="I30" s="169" t="s">
        <v>1120</v>
      </c>
      <c r="J30" s="197"/>
      <c r="K30" s="197"/>
      <c r="L30" s="594" t="s">
        <v>349</v>
      </c>
      <c r="M30" s="72">
        <f>SUM(13*60+8)</f>
        <v>788</v>
      </c>
      <c r="N30" s="781">
        <f t="shared" ref="N30" si="0">SUM(M30)+N29</f>
        <v>4769</v>
      </c>
      <c r="O30" s="659" t="s">
        <v>1317</v>
      </c>
      <c r="P30" s="660" t="s">
        <v>1314</v>
      </c>
      <c r="Q30" s="659" t="s">
        <v>1319</v>
      </c>
      <c r="R30" s="660" t="s">
        <v>1314</v>
      </c>
      <c r="S30" s="661">
        <f>SUM(N30)-(60*79)</f>
        <v>29</v>
      </c>
      <c r="T30" s="662"/>
    </row>
    <row r="31" spans="2:20" ht="15.75" customHeight="1" thickBot="1">
      <c r="B31" s="165"/>
      <c r="C31" s="301" t="s">
        <v>264</v>
      </c>
      <c r="D31" s="301"/>
      <c r="E31" s="343">
        <v>2014</v>
      </c>
      <c r="F31" s="338" t="s">
        <v>128</v>
      </c>
      <c r="G31" s="338"/>
      <c r="H31" s="726" t="s">
        <v>928</v>
      </c>
      <c r="I31" s="343" t="s">
        <v>283</v>
      </c>
      <c r="J31" s="197"/>
      <c r="K31" s="197"/>
      <c r="L31" s="595" t="s">
        <v>350</v>
      </c>
      <c r="M31" s="72">
        <f>SUM(14*60+47)</f>
        <v>887</v>
      </c>
      <c r="N31" s="782">
        <f>SUM(M31)+N30</f>
        <v>5656</v>
      </c>
      <c r="O31" s="663" t="s">
        <v>1317</v>
      </c>
      <c r="P31" s="664" t="s">
        <v>1314</v>
      </c>
      <c r="Q31" s="663" t="s">
        <v>1320</v>
      </c>
      <c r="R31" s="664" t="s">
        <v>1314</v>
      </c>
      <c r="S31" s="665">
        <f>SUM(N31)-(60*94)</f>
        <v>16</v>
      </c>
      <c r="T31" s="666"/>
    </row>
    <row r="32" spans="2:20" ht="15" customHeight="1">
      <c r="B32" s="165"/>
      <c r="C32" s="113"/>
      <c r="D32" s="113"/>
      <c r="E32" s="169">
        <v>2015</v>
      </c>
      <c r="F32" s="198" t="s">
        <v>168</v>
      </c>
      <c r="G32" s="198"/>
      <c r="H32" s="158" t="s">
        <v>937</v>
      </c>
      <c r="I32" s="302" t="s">
        <v>287</v>
      </c>
      <c r="J32" s="197"/>
      <c r="K32" s="168"/>
      <c r="L32" s="592"/>
      <c r="M32" s="72"/>
      <c r="N32" s="587"/>
      <c r="O32" s="587"/>
      <c r="P32" s="587"/>
      <c r="Q32" s="590"/>
      <c r="R32" s="590"/>
      <c r="S32" s="590"/>
    </row>
    <row r="33" spans="2:20" ht="15" customHeight="1" thickBot="1">
      <c r="B33" s="165"/>
      <c r="C33" s="168"/>
      <c r="D33" s="168"/>
      <c r="E33" s="169">
        <v>2016</v>
      </c>
      <c r="F33" s="198" t="s">
        <v>553</v>
      </c>
      <c r="G33" s="198"/>
      <c r="H33" s="160" t="s">
        <v>946</v>
      </c>
      <c r="I33" s="302" t="s">
        <v>466</v>
      </c>
      <c r="J33" s="197"/>
      <c r="K33" s="168"/>
      <c r="L33" s="144"/>
      <c r="M33" s="115"/>
      <c r="N33" s="16"/>
      <c r="O33" s="16"/>
      <c r="P33" s="596" t="s">
        <v>1348</v>
      </c>
      <c r="Q33" s="323"/>
      <c r="T33" s="729" t="s">
        <v>1117</v>
      </c>
    </row>
    <row r="34" spans="2:20" ht="17.25" customHeight="1" thickBot="1">
      <c r="B34" s="165"/>
      <c r="C34" s="301" t="s">
        <v>268</v>
      </c>
      <c r="D34" s="301"/>
      <c r="E34" s="343">
        <v>2015</v>
      </c>
      <c r="F34" s="338" t="s">
        <v>349</v>
      </c>
      <c r="G34" s="338"/>
      <c r="H34" s="726" t="s">
        <v>941</v>
      </c>
      <c r="I34" s="343" t="s">
        <v>345</v>
      </c>
      <c r="J34" s="197"/>
      <c r="K34" s="197"/>
      <c r="L34" s="593" t="s">
        <v>31</v>
      </c>
      <c r="M34" s="72">
        <f>SUM(13*60+15)</f>
        <v>795</v>
      </c>
      <c r="N34" s="780">
        <f>SUM(M34)</f>
        <v>795</v>
      </c>
      <c r="O34" s="653"/>
      <c r="P34" s="653"/>
      <c r="Q34" s="654" t="s">
        <v>1349</v>
      </c>
      <c r="R34" s="731" t="s">
        <v>1314</v>
      </c>
      <c r="S34" s="656">
        <f>SUM(N34)-(60*13)</f>
        <v>15</v>
      </c>
      <c r="T34" s="783">
        <f>SUM(N34-N25)</f>
        <v>85</v>
      </c>
    </row>
    <row r="35" spans="2:20" ht="18.75">
      <c r="B35" s="165"/>
      <c r="C35" s="144"/>
      <c r="D35" s="144"/>
      <c r="E35" s="667">
        <v>2021</v>
      </c>
      <c r="F35" s="198" t="s">
        <v>31</v>
      </c>
      <c r="G35" s="198"/>
      <c r="H35" s="160" t="s">
        <v>1360</v>
      </c>
      <c r="I35" s="667" t="s">
        <v>1309</v>
      </c>
      <c r="J35" s="197"/>
      <c r="K35" s="197"/>
      <c r="L35" s="594" t="s">
        <v>604</v>
      </c>
      <c r="M35" s="72">
        <f>SUM(13*60+13)</f>
        <v>793</v>
      </c>
      <c r="N35" s="781">
        <f>SUM(M34:M35)</f>
        <v>1588</v>
      </c>
      <c r="O35" s="658"/>
      <c r="P35" s="658"/>
      <c r="Q35" s="659" t="s">
        <v>1369</v>
      </c>
      <c r="R35" s="660" t="s">
        <v>1314</v>
      </c>
      <c r="S35" s="661">
        <f>SUM(N35)-(60*26)</f>
        <v>28</v>
      </c>
      <c r="T35" s="784">
        <f t="shared" ref="T35:T40" si="1">SUM(N35-N26)</f>
        <v>73</v>
      </c>
    </row>
    <row r="36" spans="2:20" ht="18.75">
      <c r="B36" s="165"/>
      <c r="C36" s="113"/>
      <c r="D36" s="113"/>
      <c r="E36" s="169">
        <v>2019</v>
      </c>
      <c r="F36" s="198" t="s">
        <v>660</v>
      </c>
      <c r="G36" s="198"/>
      <c r="H36" s="160" t="s">
        <v>1130</v>
      </c>
      <c r="I36" s="169" t="s">
        <v>1172</v>
      </c>
      <c r="J36" s="197"/>
      <c r="K36" s="197"/>
      <c r="L36" s="594" t="s">
        <v>626</v>
      </c>
      <c r="M36" s="72">
        <f>SUM(14*60+21)</f>
        <v>861</v>
      </c>
      <c r="N36" s="781">
        <f>SUM(M36)+N35</f>
        <v>2449</v>
      </c>
      <c r="O36" s="658"/>
      <c r="P36" s="658"/>
      <c r="Q36" s="659" t="s">
        <v>1370</v>
      </c>
      <c r="R36" s="660" t="s">
        <v>1314</v>
      </c>
      <c r="S36" s="661">
        <f>SUM(N36)-(60*40)</f>
        <v>49</v>
      </c>
      <c r="T36" s="784">
        <f t="shared" si="1"/>
        <v>70</v>
      </c>
    </row>
    <row r="37" spans="2:20" ht="18.75">
      <c r="B37" s="165"/>
      <c r="C37" s="113"/>
      <c r="D37" s="113"/>
      <c r="E37" s="169">
        <v>2016</v>
      </c>
      <c r="F37" s="198" t="s">
        <v>575</v>
      </c>
      <c r="G37" s="198"/>
      <c r="H37" s="160" t="s">
        <v>949</v>
      </c>
      <c r="I37" s="169" t="s">
        <v>468</v>
      </c>
      <c r="J37" s="197"/>
      <c r="K37" s="197"/>
      <c r="L37" s="594" t="s">
        <v>348</v>
      </c>
      <c r="M37" s="72">
        <f>SUM(12*60+43)</f>
        <v>763</v>
      </c>
      <c r="N37" s="781">
        <f>SUM(M37)+N36</f>
        <v>3212</v>
      </c>
      <c r="O37" s="658"/>
      <c r="P37" s="658"/>
      <c r="Q37" s="659" t="s">
        <v>1316</v>
      </c>
      <c r="R37" s="660" t="s">
        <v>1314</v>
      </c>
      <c r="S37" s="661">
        <f>SUM(N37)-(60*53)</f>
        <v>32</v>
      </c>
      <c r="T37" s="785">
        <f t="shared" si="1"/>
        <v>-7</v>
      </c>
    </row>
    <row r="38" spans="2:20" ht="16.5" customHeight="1">
      <c r="B38" s="165"/>
      <c r="C38" s="113"/>
      <c r="D38" s="113"/>
      <c r="E38" s="169">
        <v>2014</v>
      </c>
      <c r="F38" s="198" t="s">
        <v>133</v>
      </c>
      <c r="G38" s="198"/>
      <c r="H38" s="160" t="s">
        <v>932</v>
      </c>
      <c r="I38" s="169" t="s">
        <v>288</v>
      </c>
      <c r="J38" s="197"/>
      <c r="K38" s="197"/>
      <c r="L38" s="594" t="s">
        <v>160</v>
      </c>
      <c r="M38" s="72">
        <f>SUM(15*60+59)</f>
        <v>959</v>
      </c>
      <c r="N38" s="781">
        <f>SUM(M38)+N37</f>
        <v>4171</v>
      </c>
      <c r="O38" s="659" t="s">
        <v>1317</v>
      </c>
      <c r="P38" s="660" t="s">
        <v>1314</v>
      </c>
      <c r="Q38" s="659" t="s">
        <v>1371</v>
      </c>
      <c r="R38" s="660" t="s">
        <v>1314</v>
      </c>
      <c r="S38" s="661">
        <f>SUM(N38)-(60*69)</f>
        <v>31</v>
      </c>
      <c r="T38" s="784">
        <f t="shared" si="1"/>
        <v>190</v>
      </c>
    </row>
    <row r="39" spans="2:20" ht="15" customHeight="1">
      <c r="B39" s="165"/>
      <c r="C39" s="113"/>
      <c r="D39" s="113"/>
      <c r="E39" s="169">
        <v>2018</v>
      </c>
      <c r="F39" s="198" t="s">
        <v>569</v>
      </c>
      <c r="G39" s="198"/>
      <c r="H39" s="160" t="s">
        <v>1131</v>
      </c>
      <c r="I39" s="169" t="s">
        <v>300</v>
      </c>
      <c r="J39" s="197"/>
      <c r="K39" s="197"/>
      <c r="L39" s="594" t="s">
        <v>49</v>
      </c>
      <c r="M39" s="72">
        <f>SUM(12*60+5)</f>
        <v>725</v>
      </c>
      <c r="N39" s="781">
        <f>SUM(M39)+N38</f>
        <v>4896</v>
      </c>
      <c r="O39" s="659" t="s">
        <v>1317</v>
      </c>
      <c r="P39" s="660" t="s">
        <v>1314</v>
      </c>
      <c r="Q39" s="659" t="s">
        <v>1372</v>
      </c>
      <c r="R39" s="660" t="s">
        <v>1314</v>
      </c>
      <c r="S39" s="694">
        <f>SUM(N39)-(60*81)</f>
        <v>36</v>
      </c>
      <c r="T39" s="784">
        <f t="shared" si="1"/>
        <v>127</v>
      </c>
    </row>
    <row r="40" spans="2:20" ht="17.25" customHeight="1" thickBot="1">
      <c r="B40" s="165"/>
      <c r="C40" s="524" t="s">
        <v>1247</v>
      </c>
      <c r="D40" s="113"/>
      <c r="E40" s="520">
        <v>2019</v>
      </c>
      <c r="F40" s="521" t="s">
        <v>225</v>
      </c>
      <c r="G40" s="521"/>
      <c r="H40" s="518" t="s">
        <v>1266</v>
      </c>
      <c r="I40" s="523" t="s">
        <v>1172</v>
      </c>
      <c r="J40" s="197"/>
      <c r="K40" s="197"/>
      <c r="L40" s="595" t="s">
        <v>38</v>
      </c>
      <c r="M40" s="72">
        <f>SUM(11*60+42)</f>
        <v>702</v>
      </c>
      <c r="N40" s="782">
        <f>SUM(M40)+N39</f>
        <v>5598</v>
      </c>
      <c r="O40" s="663" t="s">
        <v>1317</v>
      </c>
      <c r="P40" s="664" t="s">
        <v>1314</v>
      </c>
      <c r="Q40" s="663" t="s">
        <v>1357</v>
      </c>
      <c r="R40" s="664" t="s">
        <v>1314</v>
      </c>
      <c r="S40" s="665">
        <f>SUM(N40)-(60*93)</f>
        <v>18</v>
      </c>
      <c r="T40" s="786">
        <f t="shared" si="1"/>
        <v>-58</v>
      </c>
    </row>
    <row r="41" spans="2:20" ht="15.75" thickBot="1">
      <c r="B41" s="165"/>
      <c r="C41" s="113"/>
      <c r="D41" s="113"/>
      <c r="E41" s="169">
        <v>2017</v>
      </c>
      <c r="F41" s="198" t="s">
        <v>1029</v>
      </c>
      <c r="G41" s="198"/>
      <c r="H41" s="160" t="s">
        <v>1038</v>
      </c>
      <c r="I41" s="169" t="s">
        <v>1023</v>
      </c>
      <c r="J41" s="197"/>
      <c r="K41" s="168"/>
    </row>
    <row r="42" spans="2:20" ht="15" customHeight="1" thickBot="1">
      <c r="B42" s="165"/>
      <c r="C42" s="301" t="s">
        <v>1339</v>
      </c>
      <c r="D42" s="301"/>
      <c r="E42" s="669">
        <v>2021</v>
      </c>
      <c r="F42" s="338" t="s">
        <v>604</v>
      </c>
      <c r="G42" s="338"/>
      <c r="H42" s="726" t="s">
        <v>1361</v>
      </c>
      <c r="I42" s="669" t="s">
        <v>1307</v>
      </c>
      <c r="J42" s="197"/>
      <c r="K42" s="168"/>
    </row>
    <row r="43" spans="2:20" ht="12" customHeight="1" thickBot="1">
      <c r="B43" s="165"/>
      <c r="C43" s="113"/>
      <c r="D43" s="113"/>
      <c r="E43" s="169"/>
      <c r="F43" s="198"/>
      <c r="G43" s="198"/>
      <c r="H43" s="160"/>
      <c r="I43" s="169"/>
      <c r="J43" s="197"/>
      <c r="K43" s="168"/>
    </row>
    <row r="44" spans="2:20" ht="14.25" customHeight="1" thickBot="1">
      <c r="B44" s="165"/>
      <c r="C44" s="301" t="s">
        <v>1185</v>
      </c>
      <c r="D44" s="517"/>
      <c r="E44" s="343">
        <v>2019</v>
      </c>
      <c r="F44" s="338" t="s">
        <v>168</v>
      </c>
      <c r="G44" s="338"/>
      <c r="H44" s="726" t="s">
        <v>1193</v>
      </c>
      <c r="I44" s="343" t="s">
        <v>1187</v>
      </c>
      <c r="J44" s="197"/>
      <c r="K44" s="168"/>
    </row>
    <row r="45" spans="2:20" ht="12" customHeight="1" thickBot="1">
      <c r="B45" s="165"/>
      <c r="C45" s="113"/>
      <c r="D45" s="113"/>
      <c r="E45" s="168"/>
      <c r="F45" s="586"/>
      <c r="G45" s="586"/>
      <c r="H45" s="586"/>
      <c r="I45" s="586"/>
      <c r="J45" s="197"/>
      <c r="K45" s="168"/>
    </row>
    <row r="46" spans="2:20" ht="15" customHeight="1" thickBot="1">
      <c r="B46" s="165"/>
      <c r="C46" s="301" t="s">
        <v>266</v>
      </c>
      <c r="D46" s="301"/>
      <c r="E46" s="343">
        <v>2018</v>
      </c>
      <c r="F46" s="338" t="s">
        <v>27</v>
      </c>
      <c r="G46" s="338"/>
      <c r="H46" s="726" t="s">
        <v>1126</v>
      </c>
      <c r="I46" s="343" t="s">
        <v>466</v>
      </c>
      <c r="J46" s="387"/>
      <c r="K46" s="585"/>
    </row>
    <row r="47" spans="2:20">
      <c r="B47" s="165"/>
      <c r="C47" s="336"/>
      <c r="D47" s="336"/>
      <c r="E47" s="169">
        <v>2014</v>
      </c>
      <c r="F47" s="198" t="s">
        <v>130</v>
      </c>
      <c r="G47" s="198"/>
      <c r="H47" s="160" t="s">
        <v>930</v>
      </c>
      <c r="I47" s="169" t="s">
        <v>285</v>
      </c>
      <c r="J47" s="387"/>
      <c r="K47" s="585"/>
    </row>
    <row r="48" spans="2:20">
      <c r="B48" s="165"/>
      <c r="C48" s="113"/>
      <c r="D48" s="113"/>
      <c r="E48" s="169">
        <v>2015</v>
      </c>
      <c r="F48" s="198" t="s">
        <v>124</v>
      </c>
      <c r="G48" s="198"/>
      <c r="H48" s="160" t="s">
        <v>938</v>
      </c>
      <c r="I48" s="169" t="s">
        <v>343</v>
      </c>
      <c r="J48" s="197"/>
      <c r="K48" s="168"/>
      <c r="L48" s="183"/>
      <c r="M48" s="16"/>
      <c r="N48" s="16"/>
      <c r="O48" s="16"/>
      <c r="P48" s="16"/>
    </row>
    <row r="49" spans="2:16" ht="15.75" thickBot="1">
      <c r="B49" s="165"/>
      <c r="C49" s="168"/>
      <c r="D49" s="168"/>
      <c r="E49" s="169">
        <v>2016</v>
      </c>
      <c r="F49" s="198" t="s">
        <v>215</v>
      </c>
      <c r="G49" s="198"/>
      <c r="H49" s="160" t="s">
        <v>947</v>
      </c>
      <c r="I49" s="169" t="s">
        <v>283</v>
      </c>
      <c r="J49" s="197"/>
      <c r="K49" s="168"/>
      <c r="L49" s="183"/>
      <c r="M49" s="16"/>
      <c r="N49" s="16"/>
      <c r="O49" s="16"/>
      <c r="P49" s="16"/>
    </row>
    <row r="50" spans="2:16" ht="15" customHeight="1" thickBot="1">
      <c r="B50" s="165"/>
      <c r="C50" s="301" t="s">
        <v>1031</v>
      </c>
      <c r="D50" s="301"/>
      <c r="E50" s="343">
        <v>2014</v>
      </c>
      <c r="F50" s="338" t="s">
        <v>132</v>
      </c>
      <c r="G50" s="338"/>
      <c r="H50" s="726" t="s">
        <v>276</v>
      </c>
      <c r="I50" s="343" t="s">
        <v>287</v>
      </c>
      <c r="J50" s="197"/>
      <c r="K50" s="168"/>
      <c r="L50" s="183"/>
      <c r="M50" s="16"/>
      <c r="N50" s="16"/>
      <c r="O50" s="16"/>
      <c r="P50" s="16"/>
    </row>
    <row r="51" spans="2:16" ht="15.75" thickBot="1">
      <c r="B51" s="165"/>
      <c r="C51" s="168"/>
      <c r="D51" s="168"/>
      <c r="E51" s="169">
        <v>2016</v>
      </c>
      <c r="F51" s="198" t="s">
        <v>476</v>
      </c>
      <c r="G51" s="198"/>
      <c r="H51" s="359" t="s">
        <v>475</v>
      </c>
      <c r="I51" s="169" t="s">
        <v>344</v>
      </c>
      <c r="J51" s="197"/>
      <c r="K51" s="168"/>
      <c r="L51" s="183"/>
      <c r="M51" s="16"/>
      <c r="N51" s="16"/>
      <c r="O51" s="16"/>
      <c r="P51" s="16"/>
    </row>
    <row r="52" spans="2:16" ht="14.25" customHeight="1" thickBot="1">
      <c r="B52" s="165"/>
      <c r="C52" s="301" t="s">
        <v>1186</v>
      </c>
      <c r="D52" s="517"/>
      <c r="E52" s="343">
        <v>2019</v>
      </c>
      <c r="F52" s="338" t="s">
        <v>88</v>
      </c>
      <c r="G52" s="338"/>
      <c r="H52" s="726" t="s">
        <v>1194</v>
      </c>
      <c r="I52" s="343" t="s">
        <v>285</v>
      </c>
      <c r="J52" s="197"/>
      <c r="K52" s="168"/>
      <c r="L52" s="183"/>
      <c r="M52" s="16"/>
      <c r="N52" s="16"/>
      <c r="O52" s="16"/>
      <c r="P52" s="16"/>
    </row>
    <row r="53" spans="2:16" ht="15.75" thickBot="1">
      <c r="B53" s="165"/>
      <c r="C53" s="336"/>
      <c r="D53" s="113"/>
      <c r="E53" s="667">
        <v>2021</v>
      </c>
      <c r="F53" s="198" t="s">
        <v>626</v>
      </c>
      <c r="G53" s="198"/>
      <c r="H53" s="160" t="s">
        <v>1373</v>
      </c>
      <c r="I53" s="667" t="s">
        <v>283</v>
      </c>
      <c r="J53" s="197"/>
      <c r="K53" s="168"/>
      <c r="L53" s="183"/>
      <c r="M53" s="16"/>
      <c r="N53" s="16"/>
      <c r="O53" s="16"/>
      <c r="P53" s="16"/>
    </row>
    <row r="54" spans="2:16" ht="15" customHeight="1" thickBot="1">
      <c r="B54" s="165"/>
      <c r="C54" s="301" t="s">
        <v>267</v>
      </c>
      <c r="D54" s="301"/>
      <c r="E54" s="343">
        <v>2014</v>
      </c>
      <c r="F54" s="338" t="s">
        <v>131</v>
      </c>
      <c r="G54" s="338"/>
      <c r="H54" s="726" t="s">
        <v>934</v>
      </c>
      <c r="I54" s="343" t="s">
        <v>286</v>
      </c>
      <c r="J54" s="197"/>
      <c r="K54" s="168"/>
      <c r="L54" s="183"/>
      <c r="M54" s="16"/>
      <c r="N54" s="16"/>
      <c r="O54" s="16"/>
      <c r="P54" s="16"/>
    </row>
    <row r="55" spans="2:16" ht="11.25" customHeight="1">
      <c r="B55" s="165"/>
      <c r="C55" s="113"/>
      <c r="D55" s="113"/>
      <c r="E55" s="169">
        <v>2015</v>
      </c>
      <c r="F55" s="198" t="s">
        <v>350</v>
      </c>
      <c r="G55" s="198"/>
      <c r="H55" s="160" t="s">
        <v>942</v>
      </c>
      <c r="I55" s="169" t="s">
        <v>346</v>
      </c>
      <c r="J55" s="197"/>
      <c r="K55" s="168"/>
      <c r="L55" s="183"/>
      <c r="M55" s="16"/>
      <c r="N55" s="16"/>
      <c r="O55" s="16"/>
      <c r="P55" s="16"/>
    </row>
    <row r="56" spans="2:16" ht="14.25" customHeight="1">
      <c r="B56" s="165"/>
      <c r="C56" s="113"/>
      <c r="D56" s="113"/>
      <c r="E56" s="169">
        <v>2018</v>
      </c>
      <c r="F56" s="198" t="s">
        <v>239</v>
      </c>
      <c r="G56" s="198"/>
      <c r="H56" s="160" t="s">
        <v>1127</v>
      </c>
      <c r="I56" s="169" t="s">
        <v>1000</v>
      </c>
      <c r="J56" s="197"/>
      <c r="K56" s="168"/>
      <c r="L56" s="183"/>
      <c r="M56" s="16"/>
      <c r="N56" s="16"/>
      <c r="O56" s="16"/>
      <c r="P56" s="16"/>
    </row>
    <row r="57" spans="2:16" ht="14.25" customHeight="1">
      <c r="B57" s="165"/>
      <c r="C57" s="168"/>
      <c r="D57" s="168"/>
      <c r="E57" s="169">
        <v>2016</v>
      </c>
      <c r="F57" s="198" t="s">
        <v>185</v>
      </c>
      <c r="G57" s="198"/>
      <c r="H57" s="160" t="s">
        <v>950</v>
      </c>
      <c r="I57" s="169" t="s">
        <v>284</v>
      </c>
      <c r="J57" s="166"/>
      <c r="K57" s="183"/>
      <c r="L57" s="183"/>
      <c r="M57" s="16"/>
      <c r="N57" s="16"/>
      <c r="O57" s="16"/>
      <c r="P57" s="16"/>
    </row>
    <row r="58" spans="2:16">
      <c r="B58" s="165"/>
      <c r="C58" s="168"/>
      <c r="D58" s="168"/>
      <c r="E58" s="169">
        <v>2017</v>
      </c>
      <c r="F58" s="198" t="s">
        <v>1036</v>
      </c>
      <c r="G58" s="198"/>
      <c r="H58" s="160" t="s">
        <v>1037</v>
      </c>
      <c r="I58" s="169" t="s">
        <v>1024</v>
      </c>
      <c r="J58" s="166"/>
      <c r="K58" s="183"/>
      <c r="L58" s="16"/>
      <c r="M58" s="16"/>
      <c r="N58" s="16"/>
      <c r="O58" s="16"/>
      <c r="P58" s="16"/>
    </row>
    <row r="59" spans="2:16" ht="13.5" customHeight="1">
      <c r="B59" s="165"/>
      <c r="C59" s="168"/>
      <c r="D59" s="168"/>
      <c r="E59" s="667">
        <v>2021</v>
      </c>
      <c r="F59" s="198" t="s">
        <v>160</v>
      </c>
      <c r="G59" s="198"/>
      <c r="H59" s="160" t="s">
        <v>1364</v>
      </c>
      <c r="I59" s="667" t="s">
        <v>1308</v>
      </c>
      <c r="J59" s="166"/>
      <c r="K59" s="183"/>
      <c r="L59" s="16"/>
      <c r="M59" s="16"/>
      <c r="N59" s="16"/>
      <c r="O59" s="16"/>
      <c r="P59" s="16"/>
    </row>
    <row r="60" spans="2:16" ht="15.75" thickBot="1">
      <c r="B60" s="165"/>
      <c r="C60" s="168"/>
      <c r="D60" s="168"/>
      <c r="E60" s="169">
        <v>2019</v>
      </c>
      <c r="F60" s="198" t="s">
        <v>674</v>
      </c>
      <c r="G60" s="198"/>
      <c r="H60" s="160" t="s">
        <v>1195</v>
      </c>
      <c r="I60" s="169" t="s">
        <v>1171</v>
      </c>
      <c r="J60" s="166"/>
      <c r="K60" s="183"/>
    </row>
    <row r="61" spans="2:16" ht="14.25" customHeight="1" thickBot="1">
      <c r="B61" s="165"/>
      <c r="C61" s="301" t="s">
        <v>1030</v>
      </c>
      <c r="D61" s="301"/>
      <c r="E61" s="343">
        <v>2017</v>
      </c>
      <c r="F61" s="338" t="s">
        <v>798</v>
      </c>
      <c r="G61" s="338"/>
      <c r="H61" s="726" t="s">
        <v>1041</v>
      </c>
      <c r="I61" s="343" t="s">
        <v>1000</v>
      </c>
      <c r="J61" s="297"/>
      <c r="K61" s="586"/>
    </row>
    <row r="62" spans="2:16" ht="12" customHeight="1" thickBot="1">
      <c r="B62" s="165"/>
      <c r="C62" s="336"/>
      <c r="D62" s="336"/>
      <c r="E62" s="169"/>
      <c r="F62" s="198"/>
      <c r="G62" s="198"/>
      <c r="H62" s="129"/>
      <c r="I62" s="169"/>
      <c r="J62" s="297"/>
      <c r="K62" s="586"/>
    </row>
    <row r="63" spans="2:16" ht="15" customHeight="1" thickBot="1">
      <c r="B63" s="165"/>
      <c r="C63" s="301" t="s">
        <v>265</v>
      </c>
      <c r="D63" s="301"/>
      <c r="E63" s="343">
        <v>2014</v>
      </c>
      <c r="F63" s="338" t="s">
        <v>129</v>
      </c>
      <c r="G63" s="338"/>
      <c r="H63" s="726" t="s">
        <v>929</v>
      </c>
      <c r="I63" s="343" t="s">
        <v>284</v>
      </c>
      <c r="J63" s="297"/>
      <c r="K63" s="586"/>
    </row>
    <row r="64" spans="2:16" ht="15.75" thickBot="1">
      <c r="B64" s="170"/>
      <c r="C64" s="719"/>
      <c r="D64" s="719"/>
      <c r="E64" s="720">
        <v>2016</v>
      </c>
      <c r="F64" s="721" t="s">
        <v>476</v>
      </c>
      <c r="G64" s="722"/>
      <c r="H64" s="723" t="s">
        <v>475</v>
      </c>
      <c r="I64" s="720" t="s">
        <v>1000</v>
      </c>
      <c r="J64" s="668"/>
      <c r="K64" s="586"/>
    </row>
    <row r="65" ht="10.5" customHeight="1"/>
  </sheetData>
  <pageMargins left="0" right="0" top="0" bottom="0" header="0.31496062992125984" footer="0.31496062992125984"/>
  <pageSetup paperSize="9" scale="85" orientation="portrait" horizontalDpi="4294967293" verticalDpi="0" r:id="rId1"/>
  <ignoredErrors>
    <ignoredError sqref="Q25:T32 O29:P41 Q41:T41 Q38:R39 T39 Q40:R40 T40 Q35:R35 Q34:R34 Q37:R37 Q36:R36 T35 T37 Q33:S33" numberStoredAsText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B1:R21"/>
  <sheetViews>
    <sheetView showGridLines="0" workbookViewId="0"/>
  </sheetViews>
  <sheetFormatPr defaultRowHeight="15"/>
  <cols>
    <col min="1" max="1" width="2.140625" customWidth="1"/>
    <col min="2" max="2" width="5.85546875" customWidth="1"/>
    <col min="3" max="3" width="15.85546875" customWidth="1"/>
    <col min="4" max="4" width="4.42578125" customWidth="1"/>
    <col min="8" max="8" width="10" customWidth="1"/>
    <col min="9" max="9" width="14.42578125" customWidth="1"/>
    <col min="10" max="10" width="5.85546875" customWidth="1"/>
    <col min="11" max="11" width="0.7109375" customWidth="1"/>
    <col min="12" max="12" width="2.85546875" customWidth="1"/>
    <col min="13" max="13" width="7.42578125" customWidth="1"/>
    <col min="14" max="14" width="6.42578125" customWidth="1"/>
    <col min="15" max="15" width="11.7109375" style="597" customWidth="1"/>
    <col min="16" max="16" width="13.7109375" customWidth="1"/>
    <col min="17" max="17" width="14.7109375" bestFit="1" customWidth="1"/>
    <col min="18" max="18" width="3.85546875" customWidth="1"/>
    <col min="19" max="19" width="4.85546875" customWidth="1"/>
  </cols>
  <sheetData>
    <row r="1" spans="2:18" ht="15.75" thickBot="1"/>
    <row r="2" spans="2:18" ht="22.5" customHeight="1" thickBot="1">
      <c r="B2" s="616"/>
      <c r="C2" s="617" t="s">
        <v>1213</v>
      </c>
      <c r="D2" s="618"/>
      <c r="E2" s="618"/>
      <c r="F2" s="619"/>
      <c r="G2" s="619"/>
      <c r="H2" s="619"/>
      <c r="I2" s="619"/>
      <c r="J2" s="619"/>
      <c r="K2" s="619"/>
      <c r="L2" s="619"/>
      <c r="M2" s="619"/>
      <c r="N2" s="619"/>
      <c r="O2" s="620"/>
    </row>
    <row r="3" spans="2:18" ht="26.25">
      <c r="B3" s="639"/>
      <c r="C3" s="157"/>
      <c r="D3" s="605"/>
      <c r="E3" s="615" t="s">
        <v>1334</v>
      </c>
      <c r="F3" s="605"/>
      <c r="G3" s="606"/>
      <c r="H3" s="606"/>
      <c r="I3" s="157"/>
      <c r="J3" s="606"/>
      <c r="K3" s="606"/>
      <c r="L3" s="606"/>
      <c r="M3" s="606"/>
      <c r="N3" s="606"/>
      <c r="Q3" s="432">
        <f>SUM(42195/2)</f>
        <v>21097.5</v>
      </c>
    </row>
    <row r="4" spans="2:18" ht="26.25">
      <c r="B4" s="610"/>
      <c r="C4" s="614" t="s">
        <v>1345</v>
      </c>
      <c r="D4" s="611"/>
      <c r="E4" s="612"/>
      <c r="F4" s="611"/>
      <c r="G4" s="613"/>
      <c r="H4" s="613"/>
      <c r="I4" s="614" t="s">
        <v>1323</v>
      </c>
      <c r="J4" s="613"/>
      <c r="K4" s="613"/>
      <c r="L4" s="614" t="s">
        <v>270</v>
      </c>
      <c r="M4" s="614"/>
      <c r="N4" s="613"/>
      <c r="O4" s="651" t="s">
        <v>1358</v>
      </c>
      <c r="P4" s="650"/>
      <c r="Q4" s="638">
        <f>SUM(Q6:Q18)</f>
        <v>21097.5</v>
      </c>
      <c r="R4" s="641" t="s">
        <v>1333</v>
      </c>
    </row>
    <row r="5" spans="2:18" ht="11.25" customHeight="1" thickBot="1">
      <c r="B5" s="621"/>
      <c r="C5" s="622"/>
      <c r="D5" s="623"/>
      <c r="E5" s="624"/>
      <c r="F5" s="623"/>
      <c r="G5" s="625"/>
      <c r="H5" s="625"/>
      <c r="I5" s="626"/>
      <c r="J5" s="625"/>
      <c r="K5" s="625"/>
      <c r="L5" s="625"/>
      <c r="M5" s="625"/>
      <c r="N5" s="625"/>
      <c r="O5" s="609"/>
      <c r="P5" s="458"/>
      <c r="Q5" s="157"/>
      <c r="R5" s="157"/>
    </row>
    <row r="6" spans="2:18" ht="27" thickBot="1">
      <c r="B6" s="603" t="s">
        <v>1326</v>
      </c>
      <c r="C6" s="689">
        <v>9.2013888888888892E-3</v>
      </c>
      <c r="D6" s="590"/>
      <c r="E6" s="602" t="s">
        <v>1346</v>
      </c>
      <c r="F6" s="598"/>
      <c r="G6" s="590"/>
      <c r="H6" s="674">
        <f>SUM(13*60+15)</f>
        <v>795</v>
      </c>
      <c r="I6" s="734">
        <f>SUM((Q6)/(H6))*720</f>
        <v>2707.4716981132078</v>
      </c>
      <c r="J6" s="608" t="s">
        <v>1333</v>
      </c>
      <c r="K6" s="652">
        <v>2989.5</v>
      </c>
      <c r="L6" s="678" t="s">
        <v>1368</v>
      </c>
      <c r="M6" s="679">
        <f>SUM(H6/Q6)*1000-240</f>
        <v>25.930757651781278</v>
      </c>
      <c r="N6" s="680" t="s">
        <v>1344</v>
      </c>
      <c r="O6" s="670">
        <f>SUM(K6/H6)*(12*60/1000)*22.351-11.288</f>
        <v>49.226699924528305</v>
      </c>
      <c r="P6" s="672" t="s">
        <v>311</v>
      </c>
      <c r="Q6" s="652">
        <v>2989.5</v>
      </c>
    </row>
    <row r="7" spans="2:18" ht="27" customHeight="1" thickBot="1">
      <c r="C7" s="690"/>
      <c r="H7" s="675"/>
      <c r="I7" s="108"/>
      <c r="L7" s="681"/>
      <c r="M7" s="681"/>
      <c r="N7" s="682"/>
      <c r="O7" s="671"/>
      <c r="P7" s="673"/>
      <c r="Q7" s="108"/>
    </row>
    <row r="8" spans="2:18" ht="27" thickBot="1">
      <c r="B8" s="603" t="s">
        <v>1327</v>
      </c>
      <c r="C8" s="689">
        <v>9.1782407407407403E-3</v>
      </c>
      <c r="D8" s="625"/>
      <c r="E8" s="626" t="s">
        <v>1340</v>
      </c>
      <c r="F8" s="623"/>
      <c r="G8" s="625"/>
      <c r="H8" s="674">
        <f>SUM(13*60+13)</f>
        <v>793</v>
      </c>
      <c r="I8" s="734">
        <f>SUM((Q8)/(H8))*720</f>
        <v>2740.1765447667085</v>
      </c>
      <c r="J8" s="608" t="s">
        <v>1333</v>
      </c>
      <c r="K8" s="644">
        <v>3018</v>
      </c>
      <c r="L8" s="678" t="s">
        <v>1368</v>
      </c>
      <c r="M8" s="679">
        <f>SUM(H8/Q8)*1000-240</f>
        <v>22.756792577866179</v>
      </c>
      <c r="N8" s="680" t="s">
        <v>1344</v>
      </c>
      <c r="O8" s="670">
        <f>SUM(K8/H8)*(12*60/1000)*22.351-11.288</f>
        <v>49.957685952080695</v>
      </c>
      <c r="P8" s="672" t="s">
        <v>311</v>
      </c>
      <c r="Q8" s="652">
        <v>3018</v>
      </c>
    </row>
    <row r="9" spans="2:18" ht="27" thickBot="1">
      <c r="B9" s="604"/>
      <c r="C9" s="691"/>
      <c r="D9" s="590"/>
      <c r="E9" s="600"/>
      <c r="F9" s="598"/>
      <c r="G9" s="590"/>
      <c r="H9" s="674"/>
      <c r="I9" s="735"/>
      <c r="J9" s="590"/>
      <c r="K9" s="640"/>
      <c r="L9" s="683"/>
      <c r="M9" s="684"/>
      <c r="N9" s="685"/>
      <c r="O9" s="671"/>
      <c r="P9" s="673"/>
      <c r="Q9" s="652"/>
    </row>
    <row r="10" spans="2:18" ht="27" thickBot="1">
      <c r="B10" s="603" t="s">
        <v>1328</v>
      </c>
      <c r="C10" s="689">
        <v>9.9652777777777778E-3</v>
      </c>
      <c r="D10" s="590"/>
      <c r="E10" s="602" t="s">
        <v>1325</v>
      </c>
      <c r="F10" s="598"/>
      <c r="G10" s="590"/>
      <c r="H10" s="674">
        <f>SUM(14*60+21)</f>
        <v>861</v>
      </c>
      <c r="I10" s="734">
        <f>SUM((Q10)/(H10))*720</f>
        <v>2523.7630662020906</v>
      </c>
      <c r="J10" s="608" t="s">
        <v>1333</v>
      </c>
      <c r="K10" s="644">
        <v>3018</v>
      </c>
      <c r="L10" s="678" t="s">
        <v>1368</v>
      </c>
      <c r="M10" s="679">
        <f>SUM(H10/Q10)*1000-240</f>
        <v>45.288270377733568</v>
      </c>
      <c r="N10" s="680" t="s">
        <v>1344</v>
      </c>
      <c r="O10" s="670">
        <f>SUM(K10/H10)*(12*60/1000)*22.351-11.288</f>
        <v>45.120628292682923</v>
      </c>
      <c r="P10" s="672" t="s">
        <v>311</v>
      </c>
      <c r="Q10" s="652">
        <v>3018</v>
      </c>
    </row>
    <row r="11" spans="2:18" ht="27" thickBot="1">
      <c r="B11" s="604"/>
      <c r="C11" s="691"/>
      <c r="D11" s="590"/>
      <c r="E11" s="600"/>
      <c r="F11" s="598"/>
      <c r="G11" s="590"/>
      <c r="H11" s="674"/>
      <c r="I11" s="735"/>
      <c r="J11" s="599"/>
      <c r="K11" s="640"/>
      <c r="L11" s="683"/>
      <c r="M11" s="679"/>
      <c r="N11" s="686"/>
      <c r="O11" s="671"/>
      <c r="P11" s="673"/>
      <c r="Q11" s="652"/>
    </row>
    <row r="12" spans="2:18" ht="27" thickBot="1">
      <c r="B12" s="603" t="s">
        <v>1329</v>
      </c>
      <c r="C12" s="689">
        <v>8.8310185185185176E-3</v>
      </c>
      <c r="D12" s="590"/>
      <c r="E12" s="602" t="s">
        <v>1342</v>
      </c>
      <c r="F12" s="598"/>
      <c r="G12" s="590"/>
      <c r="H12" s="674">
        <f>SUM(12*60+43)</f>
        <v>763</v>
      </c>
      <c r="I12" s="734">
        <f>SUM((Q12)/(H12))*720</f>
        <v>2847.9161205766709</v>
      </c>
      <c r="J12" s="608" t="s">
        <v>1333</v>
      </c>
      <c r="K12" s="644">
        <v>3018</v>
      </c>
      <c r="L12" s="678" t="s">
        <v>1368</v>
      </c>
      <c r="M12" s="679">
        <f>SUM(H12/Q12)*1000-240</f>
        <v>12.816434724983452</v>
      </c>
      <c r="N12" s="680" t="s">
        <v>1344</v>
      </c>
      <c r="O12" s="670">
        <f>SUM(K12/H12)*(12*60/1000)*22.351-11.288</f>
        <v>52.36577321100917</v>
      </c>
      <c r="P12" s="672" t="s">
        <v>311</v>
      </c>
      <c r="Q12" s="652">
        <v>3018</v>
      </c>
    </row>
    <row r="13" spans="2:18" ht="27" thickBot="1">
      <c r="B13" s="603"/>
      <c r="C13" s="691"/>
      <c r="D13" s="590"/>
      <c r="E13" s="600"/>
      <c r="F13" s="598"/>
      <c r="G13" s="590"/>
      <c r="H13" s="674"/>
      <c r="I13" s="735"/>
      <c r="J13" s="599"/>
      <c r="K13" s="640"/>
      <c r="L13" s="683"/>
      <c r="M13" s="679"/>
      <c r="N13" s="687"/>
      <c r="O13" s="671"/>
      <c r="Q13" s="652"/>
    </row>
    <row r="14" spans="2:18" ht="27" thickBot="1">
      <c r="B14" s="603" t="s">
        <v>1330</v>
      </c>
      <c r="C14" s="689">
        <v>1.1099537037037038E-2</v>
      </c>
      <c r="D14" s="590"/>
      <c r="E14" s="601" t="s">
        <v>1336</v>
      </c>
      <c r="F14" s="598"/>
      <c r="G14" s="590"/>
      <c r="H14" s="674">
        <f>SUM(15*60+59)</f>
        <v>959</v>
      </c>
      <c r="I14" s="734">
        <f>SUM((Q14)/(H14))*720</f>
        <v>2265.8602711157455</v>
      </c>
      <c r="J14" s="608" t="s">
        <v>1333</v>
      </c>
      <c r="K14" s="644">
        <v>3018</v>
      </c>
      <c r="L14" s="678" t="s">
        <v>1347</v>
      </c>
      <c r="M14" s="679">
        <f>SUM(H14/Q14)*1000-300</f>
        <v>17.760106030483769</v>
      </c>
      <c r="N14" s="680" t="s">
        <v>1344</v>
      </c>
      <c r="O14" s="670">
        <f>SUM(K14/H14)*(12*60/1000)*22.351-11.288</f>
        <v>39.356242919708023</v>
      </c>
      <c r="P14" s="607" t="s">
        <v>311</v>
      </c>
      <c r="Q14" s="652">
        <v>3018</v>
      </c>
    </row>
    <row r="15" spans="2:18" ht="27" thickBot="1">
      <c r="B15" s="603"/>
      <c r="C15" s="691"/>
      <c r="D15" s="590"/>
      <c r="E15" s="600"/>
      <c r="F15" s="598"/>
      <c r="G15" s="590"/>
      <c r="H15" s="674"/>
      <c r="I15" s="735"/>
      <c r="J15" s="599"/>
      <c r="K15" s="640"/>
      <c r="L15" s="683"/>
      <c r="M15" s="679"/>
      <c r="N15" s="687"/>
      <c r="O15" s="671"/>
      <c r="Q15" s="652"/>
    </row>
    <row r="16" spans="2:18" ht="27" thickBot="1">
      <c r="B16" s="603" t="s">
        <v>1331</v>
      </c>
      <c r="C16" s="689">
        <v>8.3912037037037045E-3</v>
      </c>
      <c r="D16" s="625"/>
      <c r="E16" s="601" t="s">
        <v>1335</v>
      </c>
      <c r="F16" s="623"/>
      <c r="G16" s="625"/>
      <c r="H16" s="733">
        <f>SUM(12*60+5)</f>
        <v>725</v>
      </c>
      <c r="I16" s="739">
        <f>SUM((Q16)/(H16))*720</f>
        <v>2997.186206896552</v>
      </c>
      <c r="J16" s="740" t="s">
        <v>1333</v>
      </c>
      <c r="K16" s="644">
        <v>3018</v>
      </c>
      <c r="L16" s="678" t="s">
        <v>1368</v>
      </c>
      <c r="M16" s="732">
        <f>SUM(H16/Q16)*1000-240</f>
        <v>0.22531477799864774</v>
      </c>
      <c r="N16" s="680" t="s">
        <v>1344</v>
      </c>
      <c r="O16" s="670">
        <f>SUM(K16/H16)*(12*60/1000)*22.351-11.288</f>
        <v>55.702108910344819</v>
      </c>
      <c r="P16" s="607" t="s">
        <v>311</v>
      </c>
      <c r="Q16" s="652">
        <v>3018</v>
      </c>
    </row>
    <row r="17" spans="2:17" ht="27" thickBot="1">
      <c r="B17" s="590"/>
      <c r="C17" s="621"/>
      <c r="D17" s="590"/>
      <c r="E17" s="590"/>
      <c r="F17" s="590"/>
      <c r="G17" s="590"/>
      <c r="H17" s="676"/>
      <c r="I17" s="646"/>
      <c r="J17" s="590"/>
      <c r="L17" s="688"/>
      <c r="M17" s="684"/>
      <c r="N17" s="685"/>
      <c r="O17" s="671"/>
      <c r="Q17" s="711"/>
    </row>
    <row r="18" spans="2:17" ht="27" thickBot="1">
      <c r="B18" s="603" t="s">
        <v>1332</v>
      </c>
      <c r="C18" s="689">
        <v>8.1249999999999985E-3</v>
      </c>
      <c r="D18" s="646"/>
      <c r="E18" s="601" t="s">
        <v>1324</v>
      </c>
      <c r="F18" s="647"/>
      <c r="G18" s="590"/>
      <c r="H18" s="674">
        <f>SUM(11*60+42)</f>
        <v>702</v>
      </c>
      <c r="I18" s="734">
        <f>SUM((Q18)/(H18))*720</f>
        <v>3095.3846153846152</v>
      </c>
      <c r="J18" s="608" t="s">
        <v>1333</v>
      </c>
      <c r="K18" s="644">
        <v>3018</v>
      </c>
      <c r="L18" s="678" t="s">
        <v>1343</v>
      </c>
      <c r="M18" s="679">
        <f>SUM(H18/Q18)*1000-180</f>
        <v>52.604373757455278</v>
      </c>
      <c r="N18" s="680" t="s">
        <v>1344</v>
      </c>
      <c r="O18" s="670">
        <f>SUM(K18/H18)*(12*60/1000)*22.351-11.288</f>
        <v>57.896941538461533</v>
      </c>
      <c r="P18" s="607" t="s">
        <v>311</v>
      </c>
      <c r="Q18" s="652">
        <v>3018</v>
      </c>
    </row>
    <row r="19" spans="2:17">
      <c r="C19" s="108"/>
      <c r="H19" s="108"/>
      <c r="L19" s="108"/>
      <c r="M19" s="108"/>
      <c r="N19" s="108"/>
      <c r="O19" s="671"/>
    </row>
    <row r="20" spans="2:17">
      <c r="H20" s="144"/>
    </row>
    <row r="21" spans="2:17" ht="26.25">
      <c r="C21" s="648"/>
      <c r="G21" s="642"/>
      <c r="O21" s="599"/>
    </row>
  </sheetData>
  <pageMargins left="0" right="0" top="0" bottom="0" header="0.31496062992125984" footer="0.31496062992125984"/>
  <pageSetup paperSize="9" scale="90" orientation="landscape" horizontalDpi="4294967293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B1:T34"/>
  <sheetViews>
    <sheetView showGridLines="0" workbookViewId="0"/>
  </sheetViews>
  <sheetFormatPr defaultRowHeight="15"/>
  <cols>
    <col min="1" max="1" width="3.42578125" customWidth="1"/>
    <col min="2" max="2" width="7.140625" customWidth="1"/>
    <col min="3" max="3" width="11.140625" style="16" customWidth="1"/>
    <col min="4" max="4" width="7.140625" style="16" customWidth="1"/>
    <col min="5" max="5" width="7.28515625" customWidth="1"/>
    <col min="6" max="6" width="7" style="16" customWidth="1"/>
    <col min="7" max="10" width="7.140625" style="16" customWidth="1"/>
    <col min="11" max="11" width="7.28515625" style="16" customWidth="1"/>
    <col min="12" max="12" width="4.7109375" style="16" customWidth="1"/>
    <col min="13" max="18" width="7.140625" style="16" customWidth="1"/>
    <col min="19" max="19" width="7.28515625" customWidth="1"/>
  </cols>
  <sheetData>
    <row r="1" spans="2:20" ht="15.75" thickBot="1"/>
    <row r="2" spans="2:20" ht="21" thickBot="1">
      <c r="D2" s="512"/>
      <c r="E2" s="513" t="s">
        <v>1213</v>
      </c>
      <c r="F2" s="514"/>
      <c r="G2" s="514"/>
      <c r="H2" s="515"/>
      <c r="I2" s="515"/>
      <c r="J2" s="515"/>
      <c r="K2" s="515"/>
      <c r="L2" s="515"/>
      <c r="M2" s="515"/>
      <c r="N2" s="515"/>
      <c r="O2" s="515"/>
      <c r="P2" s="515"/>
      <c r="Q2" s="516"/>
    </row>
    <row r="3" spans="2:20" ht="15.75">
      <c r="F3" s="787" t="s">
        <v>1391</v>
      </c>
    </row>
    <row r="4" spans="2:20">
      <c r="B4" s="131"/>
      <c r="C4" s="587"/>
      <c r="D4" s="587"/>
      <c r="E4" s="131"/>
      <c r="F4" s="776" t="s">
        <v>135</v>
      </c>
      <c r="G4" s="776" t="s">
        <v>340</v>
      </c>
      <c r="H4" s="776" t="s">
        <v>576</v>
      </c>
      <c r="I4" s="776" t="s">
        <v>1035</v>
      </c>
      <c r="J4" s="776" t="s">
        <v>597</v>
      </c>
      <c r="K4" s="776" t="s">
        <v>1191</v>
      </c>
      <c r="L4" s="776" t="s">
        <v>1375</v>
      </c>
      <c r="M4" s="779" t="s">
        <v>1351</v>
      </c>
      <c r="N4" s="762"/>
      <c r="O4" s="762"/>
      <c r="P4" s="762"/>
      <c r="Q4" s="762"/>
      <c r="R4" s="762"/>
      <c r="S4" s="131"/>
      <c r="T4" s="131"/>
    </row>
    <row r="5" spans="2:20">
      <c r="B5" s="777"/>
      <c r="C5" s="778" t="s">
        <v>1390</v>
      </c>
      <c r="D5" s="768"/>
      <c r="E5" s="768"/>
      <c r="F5" s="788">
        <v>2014</v>
      </c>
      <c r="G5" s="788">
        <v>2015</v>
      </c>
      <c r="H5" s="789">
        <v>2016</v>
      </c>
      <c r="I5" s="790">
        <v>2017</v>
      </c>
      <c r="J5" s="790">
        <v>2018</v>
      </c>
      <c r="K5" s="790">
        <v>2019</v>
      </c>
      <c r="L5" s="772">
        <v>2020</v>
      </c>
      <c r="M5" s="789">
        <v>2021</v>
      </c>
      <c r="N5" s="771">
        <v>2022</v>
      </c>
      <c r="O5" s="768"/>
      <c r="P5" s="768"/>
      <c r="Q5" s="768"/>
      <c r="R5" s="768"/>
      <c r="S5" s="131"/>
      <c r="T5" s="131"/>
    </row>
    <row r="6" spans="2:20" s="762" customFormat="1" ht="13.5" customHeight="1">
      <c r="B6" s="769"/>
      <c r="C6" s="769"/>
      <c r="D6" s="773" t="s">
        <v>1381</v>
      </c>
      <c r="E6" s="773" t="s">
        <v>1382</v>
      </c>
      <c r="F6" s="769" t="s">
        <v>1377</v>
      </c>
      <c r="G6" s="769" t="s">
        <v>1377</v>
      </c>
      <c r="H6" s="769" t="s">
        <v>1378</v>
      </c>
      <c r="I6" s="769" t="s">
        <v>1380</v>
      </c>
      <c r="J6" s="769" t="s">
        <v>1377</v>
      </c>
      <c r="K6" s="769" t="s">
        <v>1377</v>
      </c>
      <c r="L6" s="769"/>
      <c r="M6" s="769" t="s">
        <v>1377</v>
      </c>
      <c r="N6" s="769"/>
      <c r="O6" s="769"/>
      <c r="P6" s="769"/>
      <c r="Q6" s="769"/>
      <c r="R6" s="769"/>
    </row>
    <row r="7" spans="2:20" s="762" customFormat="1" ht="13.5" customHeight="1">
      <c r="B7" s="770"/>
      <c r="C7" s="800" t="s">
        <v>268</v>
      </c>
      <c r="D7" s="127" t="s">
        <v>1383</v>
      </c>
      <c r="E7" s="774" t="s">
        <v>1389</v>
      </c>
      <c r="F7" s="791" t="s">
        <v>1376</v>
      </c>
      <c r="G7" s="792" t="s">
        <v>1376</v>
      </c>
      <c r="H7" s="791" t="s">
        <v>1376</v>
      </c>
      <c r="I7" s="792" t="s">
        <v>1379</v>
      </c>
      <c r="J7" s="791" t="s">
        <v>1376</v>
      </c>
      <c r="K7" s="792" t="s">
        <v>1376</v>
      </c>
      <c r="L7" s="793"/>
      <c r="M7" s="792" t="s">
        <v>1376</v>
      </c>
      <c r="N7" s="791"/>
      <c r="O7" s="792"/>
      <c r="P7" s="791"/>
      <c r="Q7" s="792"/>
      <c r="R7" s="794"/>
      <c r="S7" s="794"/>
    </row>
    <row r="8" spans="2:20">
      <c r="B8" s="636"/>
      <c r="C8" s="801" t="s">
        <v>267</v>
      </c>
      <c r="D8" s="127" t="s">
        <v>1383</v>
      </c>
      <c r="E8" s="763" t="s">
        <v>1383</v>
      </c>
      <c r="F8" s="791" t="s">
        <v>1376</v>
      </c>
      <c r="G8" s="792" t="s">
        <v>1376</v>
      </c>
      <c r="H8" s="791" t="s">
        <v>1376</v>
      </c>
      <c r="I8" s="792" t="s">
        <v>1376</v>
      </c>
      <c r="J8" s="791" t="s">
        <v>1376</v>
      </c>
      <c r="K8" s="792" t="s">
        <v>1376</v>
      </c>
      <c r="L8" s="793"/>
      <c r="M8" s="792" t="s">
        <v>1376</v>
      </c>
      <c r="N8" s="791"/>
      <c r="O8" s="792"/>
      <c r="P8" s="791"/>
      <c r="Q8" s="792"/>
      <c r="R8" s="795"/>
      <c r="S8" s="796"/>
    </row>
    <row r="9" spans="2:20">
      <c r="B9" s="636"/>
      <c r="C9" s="800" t="s">
        <v>324</v>
      </c>
      <c r="D9" s="121" t="s">
        <v>1387</v>
      </c>
      <c r="E9" s="775" t="s">
        <v>1383</v>
      </c>
      <c r="F9" s="791"/>
      <c r="G9" s="792" t="s">
        <v>1376</v>
      </c>
      <c r="H9" s="791" t="s">
        <v>1376</v>
      </c>
      <c r="I9" s="792" t="s">
        <v>1376</v>
      </c>
      <c r="J9" s="791" t="s">
        <v>1379</v>
      </c>
      <c r="K9" s="792" t="s">
        <v>1376</v>
      </c>
      <c r="L9" s="793"/>
      <c r="M9" s="792" t="s">
        <v>1376</v>
      </c>
      <c r="N9" s="791"/>
      <c r="O9" s="792"/>
      <c r="P9" s="791"/>
      <c r="Q9" s="792"/>
      <c r="R9" s="795"/>
      <c r="S9" s="796"/>
    </row>
    <row r="10" spans="2:20">
      <c r="B10" s="636"/>
      <c r="C10" s="800" t="s">
        <v>341</v>
      </c>
      <c r="D10" s="121" t="s">
        <v>1388</v>
      </c>
      <c r="E10" s="775" t="s">
        <v>1383</v>
      </c>
      <c r="F10" s="791"/>
      <c r="G10" s="792" t="s">
        <v>1376</v>
      </c>
      <c r="H10" s="791" t="s">
        <v>1376</v>
      </c>
      <c r="I10" s="792" t="s">
        <v>1376</v>
      </c>
      <c r="J10" s="791" t="s">
        <v>1379</v>
      </c>
      <c r="K10" s="792" t="s">
        <v>1379</v>
      </c>
      <c r="L10" s="793"/>
      <c r="M10" s="792"/>
      <c r="N10" s="791"/>
      <c r="O10" s="792"/>
      <c r="P10" s="791"/>
      <c r="Q10" s="792"/>
      <c r="R10" s="795"/>
      <c r="S10" s="796"/>
    </row>
    <row r="11" spans="2:20" ht="6" customHeight="1">
      <c r="C11" s="802"/>
      <c r="D11" s="121"/>
      <c r="E11" s="764"/>
      <c r="F11" s="793"/>
      <c r="G11" s="793"/>
      <c r="H11" s="793"/>
      <c r="I11" s="793"/>
      <c r="J11" s="793"/>
      <c r="K11" s="793"/>
      <c r="L11" s="793"/>
      <c r="M11" s="793"/>
      <c r="N11" s="793"/>
      <c r="O11" s="793"/>
      <c r="P11" s="793"/>
      <c r="Q11" s="793"/>
      <c r="R11" s="795"/>
      <c r="S11" s="796"/>
    </row>
    <row r="12" spans="2:20">
      <c r="B12" s="636"/>
      <c r="C12" s="801" t="s">
        <v>266</v>
      </c>
      <c r="D12" s="127" t="s">
        <v>1386</v>
      </c>
      <c r="E12" s="763" t="s">
        <v>1386</v>
      </c>
      <c r="F12" s="791" t="s">
        <v>1376</v>
      </c>
      <c r="G12" s="792" t="s">
        <v>1376</v>
      </c>
      <c r="H12" s="791" t="s">
        <v>1376</v>
      </c>
      <c r="I12" s="792"/>
      <c r="J12" s="791" t="s">
        <v>1376</v>
      </c>
      <c r="K12" s="792"/>
      <c r="L12" s="793"/>
      <c r="M12" s="792"/>
      <c r="N12" s="791"/>
      <c r="O12" s="792"/>
      <c r="P12" s="791"/>
      <c r="Q12" s="792"/>
      <c r="R12" s="795"/>
      <c r="S12" s="796"/>
    </row>
    <row r="13" spans="2:20">
      <c r="B13" s="636"/>
      <c r="C13" s="801" t="s">
        <v>264</v>
      </c>
      <c r="D13" s="127" t="s">
        <v>1384</v>
      </c>
      <c r="E13" s="763" t="s">
        <v>1384</v>
      </c>
      <c r="F13" s="791" t="s">
        <v>1376</v>
      </c>
      <c r="G13" s="792" t="s">
        <v>1376</v>
      </c>
      <c r="H13" s="791" t="s">
        <v>1376</v>
      </c>
      <c r="I13" s="792"/>
      <c r="J13" s="791"/>
      <c r="K13" s="792"/>
      <c r="L13" s="793"/>
      <c r="M13" s="792"/>
      <c r="N13" s="791"/>
      <c r="O13" s="792"/>
      <c r="P13" s="791"/>
      <c r="Q13" s="792"/>
      <c r="R13" s="795"/>
      <c r="S13" s="796"/>
    </row>
    <row r="14" spans="2:20">
      <c r="B14" s="636"/>
      <c r="C14" s="800" t="s">
        <v>309</v>
      </c>
      <c r="D14" s="121" t="s">
        <v>1384</v>
      </c>
      <c r="E14" s="764" t="s">
        <v>1384</v>
      </c>
      <c r="F14" s="791" t="s">
        <v>1376</v>
      </c>
      <c r="G14" s="792" t="s">
        <v>1376</v>
      </c>
      <c r="H14" s="791" t="s">
        <v>1376</v>
      </c>
      <c r="I14" s="792"/>
      <c r="J14" s="791"/>
      <c r="K14" s="792"/>
      <c r="L14" s="793"/>
      <c r="M14" s="792"/>
      <c r="N14" s="791"/>
      <c r="O14" s="792"/>
      <c r="P14" s="791"/>
      <c r="Q14" s="792"/>
      <c r="R14" s="795"/>
      <c r="S14" s="796"/>
    </row>
    <row r="15" spans="2:20">
      <c r="B15" s="636"/>
      <c r="C15" s="801" t="s">
        <v>265</v>
      </c>
      <c r="D15" s="127" t="s">
        <v>1385</v>
      </c>
      <c r="E15" s="763" t="s">
        <v>1385</v>
      </c>
      <c r="F15" s="791" t="s">
        <v>1376</v>
      </c>
      <c r="G15" s="792"/>
      <c r="H15" s="797" t="s">
        <v>1376</v>
      </c>
      <c r="I15" s="792"/>
      <c r="J15" s="791"/>
      <c r="K15" s="792"/>
      <c r="L15" s="793"/>
      <c r="M15" s="792"/>
      <c r="N15" s="791"/>
      <c r="O15" s="792"/>
      <c r="P15" s="791"/>
      <c r="Q15" s="792"/>
      <c r="R15" s="795"/>
      <c r="S15" s="796"/>
    </row>
    <row r="16" spans="2:20">
      <c r="B16" s="636"/>
      <c r="C16" s="800" t="s">
        <v>281</v>
      </c>
      <c r="D16" s="121" t="s">
        <v>1385</v>
      </c>
      <c r="E16" s="764" t="s">
        <v>1385</v>
      </c>
      <c r="F16" s="791" t="s">
        <v>1376</v>
      </c>
      <c r="G16" s="792"/>
      <c r="H16" s="797" t="s">
        <v>1376</v>
      </c>
      <c r="I16" s="792"/>
      <c r="J16" s="791"/>
      <c r="K16" s="792"/>
      <c r="L16" s="793"/>
      <c r="M16" s="792"/>
      <c r="N16" s="791"/>
      <c r="O16" s="792"/>
      <c r="P16" s="791"/>
      <c r="Q16" s="792"/>
      <c r="R16" s="795"/>
      <c r="S16" s="796"/>
    </row>
    <row r="17" spans="2:19" s="157" customFormat="1" ht="5.25" customHeight="1">
      <c r="C17" s="802"/>
      <c r="D17" s="121"/>
      <c r="E17" s="764"/>
      <c r="F17" s="793"/>
      <c r="G17" s="793"/>
      <c r="H17" s="798"/>
      <c r="I17" s="793"/>
      <c r="J17" s="793"/>
      <c r="K17" s="793"/>
      <c r="L17" s="793"/>
      <c r="M17" s="793"/>
      <c r="N17" s="793"/>
      <c r="O17" s="793"/>
      <c r="P17" s="793"/>
      <c r="Q17" s="793"/>
      <c r="R17" s="793"/>
      <c r="S17" s="799"/>
    </row>
    <row r="18" spans="2:19">
      <c r="B18" s="636"/>
      <c r="C18" s="803" t="s">
        <v>1186</v>
      </c>
      <c r="D18" s="121" t="s">
        <v>1385</v>
      </c>
      <c r="E18" s="198" t="s">
        <v>1385</v>
      </c>
      <c r="F18" s="791"/>
      <c r="G18" s="792"/>
      <c r="H18" s="791"/>
      <c r="I18" s="792"/>
      <c r="J18" s="791"/>
      <c r="K18" s="792" t="s">
        <v>1376</v>
      </c>
      <c r="L18" s="793"/>
      <c r="M18" s="792" t="s">
        <v>1376</v>
      </c>
      <c r="N18" s="791"/>
      <c r="O18" s="792"/>
      <c r="P18" s="791"/>
      <c r="Q18" s="792"/>
      <c r="R18" s="795"/>
      <c r="S18" s="796"/>
    </row>
    <row r="19" spans="2:19">
      <c r="B19" s="636"/>
      <c r="C19" s="803" t="s">
        <v>1030</v>
      </c>
      <c r="D19" s="121" t="s">
        <v>1317</v>
      </c>
      <c r="E19" s="198" t="s">
        <v>1317</v>
      </c>
      <c r="F19" s="791"/>
      <c r="G19" s="792"/>
      <c r="H19" s="791"/>
      <c r="I19" s="792" t="s">
        <v>1376</v>
      </c>
      <c r="J19" s="791"/>
      <c r="K19" s="792"/>
      <c r="L19" s="793"/>
      <c r="M19" s="792"/>
      <c r="N19" s="791"/>
      <c r="O19" s="792"/>
      <c r="P19" s="791"/>
      <c r="Q19" s="792"/>
      <c r="R19" s="795"/>
      <c r="S19" s="796"/>
    </row>
    <row r="20" spans="2:19">
      <c r="B20" s="636"/>
      <c r="C20" s="803" t="s">
        <v>1185</v>
      </c>
      <c r="D20" s="121" t="s">
        <v>1317</v>
      </c>
      <c r="E20" s="198" t="s">
        <v>1317</v>
      </c>
      <c r="F20" s="791"/>
      <c r="G20" s="792"/>
      <c r="H20" s="791"/>
      <c r="I20" s="792"/>
      <c r="J20" s="791"/>
      <c r="K20" s="792" t="s">
        <v>1376</v>
      </c>
      <c r="L20" s="793"/>
      <c r="M20" s="792"/>
      <c r="N20" s="791"/>
      <c r="O20" s="792"/>
      <c r="P20" s="791"/>
      <c r="Q20" s="792"/>
      <c r="R20" s="795"/>
      <c r="S20" s="796"/>
    </row>
    <row r="21" spans="2:19">
      <c r="B21" s="636"/>
      <c r="C21" s="804" t="s">
        <v>1339</v>
      </c>
      <c r="D21" s="53">
        <v>1</v>
      </c>
      <c r="E21" s="765">
        <v>1</v>
      </c>
      <c r="F21" s="791"/>
      <c r="G21" s="792"/>
      <c r="H21" s="791"/>
      <c r="I21" s="792"/>
      <c r="J21" s="791"/>
      <c r="K21" s="792"/>
      <c r="L21" s="793"/>
      <c r="M21" s="792" t="s">
        <v>1376</v>
      </c>
      <c r="N21" s="791"/>
      <c r="O21" s="792"/>
      <c r="P21" s="791"/>
      <c r="Q21" s="792"/>
      <c r="R21" s="795"/>
      <c r="S21" s="796"/>
    </row>
    <row r="22" spans="2:19">
      <c r="B22" s="636"/>
      <c r="C22" s="803" t="s">
        <v>1341</v>
      </c>
      <c r="D22" s="121" t="s">
        <v>1317</v>
      </c>
      <c r="E22" s="198" t="s">
        <v>1317</v>
      </c>
      <c r="F22" s="791"/>
      <c r="G22" s="792"/>
      <c r="H22" s="791"/>
      <c r="I22" s="792"/>
      <c r="J22" s="791"/>
      <c r="K22" s="792"/>
      <c r="L22" s="793"/>
      <c r="M22" s="792" t="s">
        <v>1376</v>
      </c>
      <c r="N22" s="791"/>
      <c r="O22" s="792"/>
      <c r="P22" s="791"/>
      <c r="Q22" s="792"/>
      <c r="R22" s="795"/>
      <c r="S22" s="796"/>
    </row>
    <row r="23" spans="2:19">
      <c r="B23" s="636"/>
      <c r="C23" s="803" t="s">
        <v>1310</v>
      </c>
      <c r="D23" s="121" t="s">
        <v>1317</v>
      </c>
      <c r="E23" s="198" t="s">
        <v>1317</v>
      </c>
      <c r="F23" s="791"/>
      <c r="G23" s="792"/>
      <c r="H23" s="791"/>
      <c r="I23" s="792"/>
      <c r="J23" s="791"/>
      <c r="K23" s="792"/>
      <c r="L23" s="793"/>
      <c r="M23" s="792" t="s">
        <v>1376</v>
      </c>
      <c r="N23" s="791"/>
      <c r="O23" s="792"/>
      <c r="P23" s="791"/>
      <c r="Q23" s="792"/>
      <c r="R23" s="795"/>
      <c r="S23" s="796"/>
    </row>
    <row r="24" spans="2:19" ht="5.25" customHeight="1">
      <c r="B24" s="157"/>
      <c r="C24" s="135"/>
      <c r="D24" s="135"/>
      <c r="E24" s="157"/>
      <c r="F24" s="793"/>
      <c r="G24" s="793"/>
      <c r="H24" s="793"/>
      <c r="I24" s="793"/>
      <c r="J24" s="793"/>
      <c r="K24" s="793"/>
      <c r="L24" s="793"/>
      <c r="M24" s="793"/>
      <c r="N24" s="793"/>
      <c r="O24" s="793"/>
      <c r="P24" s="793"/>
      <c r="Q24" s="793"/>
      <c r="R24" s="793"/>
      <c r="S24" s="796"/>
    </row>
    <row r="25" spans="2:19">
      <c r="B25" s="636"/>
      <c r="C25" s="767"/>
      <c r="D25" s="121"/>
      <c r="E25" s="198"/>
      <c r="F25" s="791"/>
      <c r="G25" s="792"/>
      <c r="H25" s="791"/>
      <c r="I25" s="792"/>
      <c r="J25" s="791"/>
      <c r="K25" s="792"/>
      <c r="L25" s="793"/>
      <c r="M25" s="792"/>
      <c r="N25" s="791"/>
      <c r="O25" s="792"/>
      <c r="P25" s="791"/>
      <c r="Q25" s="792"/>
      <c r="R25" s="795"/>
      <c r="S25" s="796"/>
    </row>
    <row r="26" spans="2:19">
      <c r="B26" s="636"/>
      <c r="C26" s="767"/>
      <c r="D26" s="121"/>
      <c r="E26" s="198"/>
      <c r="F26" s="791"/>
      <c r="G26" s="792"/>
      <c r="H26" s="791"/>
      <c r="I26" s="792"/>
      <c r="J26" s="791"/>
      <c r="K26" s="792"/>
      <c r="L26" s="793"/>
      <c r="M26" s="792"/>
      <c r="N26" s="791"/>
      <c r="O26" s="792"/>
      <c r="P26" s="791"/>
      <c r="Q26" s="792"/>
      <c r="R26" s="795"/>
      <c r="S26" s="796"/>
    </row>
    <row r="27" spans="2:19">
      <c r="B27" s="636"/>
      <c r="C27" s="767"/>
      <c r="D27" s="121"/>
      <c r="E27" s="198"/>
      <c r="F27" s="791"/>
      <c r="G27" s="792"/>
      <c r="H27" s="791"/>
      <c r="I27" s="792"/>
      <c r="J27" s="791"/>
      <c r="K27" s="792"/>
      <c r="L27" s="793"/>
      <c r="M27" s="792"/>
      <c r="N27" s="791"/>
      <c r="O27" s="792"/>
      <c r="P27" s="791"/>
      <c r="Q27" s="792"/>
      <c r="R27" s="795"/>
      <c r="S27" s="796"/>
    </row>
    <row r="28" spans="2:19">
      <c r="B28" s="636"/>
      <c r="C28" s="766"/>
      <c r="D28" s="53"/>
      <c r="E28" s="765"/>
      <c r="F28" s="791"/>
      <c r="G28" s="792"/>
      <c r="H28" s="791"/>
      <c r="I28" s="792"/>
      <c r="J28" s="791"/>
      <c r="K28" s="792"/>
      <c r="L28" s="793"/>
      <c r="M28" s="792"/>
      <c r="N28" s="791"/>
      <c r="O28" s="792"/>
      <c r="P28" s="791"/>
      <c r="Q28" s="792"/>
      <c r="R28" s="795"/>
      <c r="S28" s="796"/>
    </row>
    <row r="29" spans="2:19">
      <c r="B29" s="636"/>
      <c r="C29" s="767"/>
      <c r="D29" s="121"/>
      <c r="E29" s="198"/>
      <c r="F29" s="791"/>
      <c r="G29" s="792"/>
      <c r="H29" s="791"/>
      <c r="I29" s="792"/>
      <c r="J29" s="791"/>
      <c r="K29" s="792"/>
      <c r="L29" s="793"/>
      <c r="M29" s="792"/>
      <c r="N29" s="791"/>
      <c r="O29" s="792"/>
      <c r="P29" s="791"/>
      <c r="Q29" s="792"/>
      <c r="R29" s="795"/>
      <c r="S29" s="796"/>
    </row>
    <row r="30" spans="2:19">
      <c r="B30" s="636"/>
      <c r="C30" s="767"/>
      <c r="D30" s="121"/>
      <c r="E30" s="198"/>
      <c r="F30" s="791"/>
      <c r="G30" s="792"/>
      <c r="H30" s="791"/>
      <c r="I30" s="792"/>
      <c r="J30" s="791"/>
      <c r="K30" s="792"/>
      <c r="L30" s="793"/>
      <c r="M30" s="792"/>
      <c r="N30" s="791"/>
      <c r="O30" s="792"/>
      <c r="P30" s="791"/>
      <c r="Q30" s="792"/>
      <c r="R30" s="795"/>
      <c r="S30" s="796"/>
    </row>
    <row r="31" spans="2:19">
      <c r="L31" s="135"/>
    </row>
    <row r="32" spans="2:19">
      <c r="L32" s="135"/>
    </row>
    <row r="33" spans="12:12">
      <c r="L33" s="135"/>
    </row>
    <row r="34" spans="12:12">
      <c r="L34" s="135"/>
    </row>
  </sheetData>
  <pageMargins left="0" right="0" top="0" bottom="0" header="0.31496062992125984" footer="0.31496062992125984"/>
  <pageSetup paperSize="9" scale="90" orientation="landscape" horizontalDpi="4294967293" verticalDpi="0" r:id="rId1"/>
  <ignoredErrors>
    <ignoredError sqref="D18:E23 D7:E10 D12:E16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F17" sqref="F17"/>
    </sheetView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9</vt:i4>
      </vt:variant>
    </vt:vector>
  </HeadingPairs>
  <TitlesOfParts>
    <vt:vector size="9" baseType="lpstr">
      <vt:lpstr>půlmaraton 2019</vt:lpstr>
      <vt:lpstr>2015</vt:lpstr>
      <vt:lpstr>púlmaraton 2021</vt:lpstr>
      <vt:lpstr>2021</vt:lpstr>
      <vt:lpstr>tisk 1 družstvo</vt:lpstr>
      <vt:lpstr>tisk 2 jednotlivci</vt:lpstr>
      <vt:lpstr>12minut-2021</vt:lpstr>
      <vt:lpstr>účast</vt:lpstr>
      <vt:lpstr>List1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Jirka</dc:creator>
  <cp:lastModifiedBy>Jirka</cp:lastModifiedBy>
  <cp:lastPrinted>2021-11-07T16:01:32Z</cp:lastPrinted>
  <dcterms:created xsi:type="dcterms:W3CDTF">2014-11-03T11:55:54Z</dcterms:created>
  <dcterms:modified xsi:type="dcterms:W3CDTF">2021-11-07T19:49:44Z</dcterms:modified>
</cp:coreProperties>
</file>